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4"/>
  </bookViews>
  <sheets>
    <sheet name="กระแสเงินสด" sheetId="1" r:id="rId1"/>
    <sheet name="งบทดลอง" sheetId="2" r:id="rId2"/>
    <sheet name="หมายเหตุ" sheetId="3" r:id="rId3"/>
    <sheet name="หมายเหตุยกมา" sheetId="4" r:id="rId4"/>
    <sheet name="งบรับ-จ่าย" sheetId="5" r:id="rId5"/>
    <sheet name="Sheet2" sheetId="6" r:id="rId6"/>
    <sheet name="Sheet3" sheetId="7" r:id="rId7"/>
  </sheets>
  <externalReferences>
    <externalReference r:id="rId10"/>
    <externalReference r:id="rId11"/>
  </externalReferences>
  <definedNames>
    <definedName name="_xlnm.Print_Area" localSheetId="5">'Sheet2'!$A$1:$G$52</definedName>
    <definedName name="_xlnm.Print_Area" localSheetId="0">'กระแสเงินสด'!$A$1:$M$75</definedName>
    <definedName name="_xlnm.Print_Area" localSheetId="1">'งบทดลอง'!$A$1:$K$86</definedName>
    <definedName name="_xlnm.Print_Area" localSheetId="4">'งบรับ-จ่าย'!$A$1:$S$100</definedName>
    <definedName name="_xlnm.Print_Area" localSheetId="2">'หมายเหตุ'!$A$1:$R$48</definedName>
    <definedName name="_xlnm.Print_Area" localSheetId="3">'หมายเหตุยกมา'!$A$1:$I$72</definedName>
  </definedNames>
  <calcPr fullCalcOnLoad="1"/>
</workbook>
</file>

<file path=xl/comments5.xml><?xml version="1.0" encoding="utf-8"?>
<comments xmlns="http://schemas.openxmlformats.org/spreadsheetml/2006/main">
  <authors>
    <author>Mr.KKD</author>
  </authors>
  <commentList>
    <comment ref="G81" authorId="0">
      <text>
        <r>
          <rPr>
            <b/>
            <sz val="9"/>
            <rFont val="Tahoma"/>
            <family val="0"/>
          </rPr>
          <t>Mr.KKD: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<sst xmlns="http://schemas.openxmlformats.org/spreadsheetml/2006/main" count="479" uniqueCount="282">
  <si>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</si>
  <si>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</si>
  <si>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</si>
  <si>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</si>
  <si>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</si>
  <si>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</si>
  <si>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</si>
  <si>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</si>
  <si>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</si>
  <si>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</si>
  <si>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</si>
  <si>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</si>
  <si>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</si>
  <si>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</si>
  <si>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</si>
  <si>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</si>
  <si>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</si>
  <si>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</si>
  <si>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</si>
  <si>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</si>
  <si>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</si>
  <si>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</si>
  <si>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</si>
  <si>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</si>
  <si>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</si>
  <si>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</si>
  <si>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</si>
  <si>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</si>
  <si>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</si>
  <si>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</si>
  <si>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</si>
  <si>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</si>
  <si>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</si>
  <si>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</si>
  <si>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</si>
  <si>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</si>
  <si>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</si>
  <si>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</si>
  <si>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</si>
  <si>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</si>
  <si>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</si>
  <si>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</si>
  <si>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</si>
  <si>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</si>
  <si>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</si>
  <si>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</si>
  <si>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</si>
  <si>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</si>
  <si>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</si>
  <si>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</si>
  <si>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</si>
  <si>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</si>
  <si>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</si>
  <si>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</si>
  <si>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</si>
  <si>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</si>
  <si>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</si>
  <si>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</si>
  <si>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</si>
  <si>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</si>
  <si>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</si>
  <si>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รับคืน - เงินสะสม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</si>
  <si>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</si>
  <si>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</si>
  <si>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</si>
  <si>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</si>
  <si>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</si>
  <si>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</si>
  <si>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</si>
  <si>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</si>
  <si>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</si>
  <si>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</si>
  <si>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</si>
  <si>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</si>
  <si>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</si>
  <si>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</si>
  <si>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</si>
  <si>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</si>
  <si>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</si>
  <si>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</si>
  <si>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</si>
  <si>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</si>
  <si>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</si>
  <si>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</si>
  <si>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</si>
  <si>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</si>
  <si>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</si>
  <si>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</si>
  <si>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</si>
  <si>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</si>
  <si>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</si>
  <si>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</si>
  <si>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</si>
  <si>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</si>
  <si>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</si>
  <si>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</si>
  <si>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</si>
  <si>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</si>
  <si>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</si>
  <si>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</si>
  <si>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</si>
  <si>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</si>
  <si>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</si>
  <si>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</si>
  <si>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</si>
  <si>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</si>
  <si>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</si>
  <si>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</si>
  <si>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</si>
  <si>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</si>
  <si>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</si>
  <si>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</si>
  <si>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</si>
  <si>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</si>
  <si>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</si>
  <si>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</si>
  <si>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</si>
  <si>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</si>
  <si>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</si>
  <si>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</si>
  <si>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</si>
  <si>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</si>
  <si>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ระบบหลักประกันสุขภาพระดับท้องถิ่น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</si>
  <si>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</si>
  <si>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</si>
  <si>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>รายจ่ายอื่น</t>
  </si>
  <si>
    <t>551000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</si>
  <si>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</si>
  <si>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</si>
  <si>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</si>
  <si>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</si>
  <si>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</si>
  <si>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</si>
  <si>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</si>
  <si>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</si>
  <si>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113302</t>
  </si>
  <si>
    <t xml:space="preserve">        - อื่น ๆ (ระบบหลักประกันสุขภาพฯ)</t>
  </si>
  <si>
    <t>113600</t>
  </si>
  <si>
    <t>214000</t>
  </si>
  <si>
    <t>ฎีกาค้างจ่าย (รายจ่ายรอจ่าย)</t>
  </si>
  <si>
    <t>213000</t>
  </si>
  <si>
    <t>190002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</si>
  <si>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</si>
  <si>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</si>
  <si>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</si>
  <si>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</si>
  <si>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</si>
  <si>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</si>
  <si>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</si>
  <si>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</si>
  <si>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</si>
  <si>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รับเงินอุดหนุนทั่วไปกำหนดวัตถุประสงค์ - ค่าเล่าเรียนบุตร</t>
  </si>
  <si>
    <t>เพื่อปรับสภาพที่อยู่อาศัยแก่คนพิการ</t>
  </si>
  <si>
    <t>รับคืน - เงินเดือนฝ่ายประจำ (ค่าจ้างชั่วคราว)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</si>
  <si>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</si>
  <si>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</si>
  <si>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</si>
  <si>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</si>
  <si>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</si>
  <si>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</si>
  <si>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</si>
  <si>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</si>
  <si>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</si>
  <si>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</si>
  <si>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</si>
  <si>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</si>
  <si>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</si>
  <si>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</si>
  <si>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รับคืน - เงินเดือนฝ่ายประจำ (-ข้าราชการประจำ)</t>
  </si>
  <si>
    <t>ใบผ่าน 1/.ใบผ่านทั่วไป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</si>
  <si>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</si>
  <si>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</si>
  <si>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</si>
  <si>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</si>
  <si>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</si>
  <si>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</si>
  <si>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</si>
  <si>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</si>
  <si>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</si>
  <si>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</si>
  <si>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</si>
  <si>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</si>
  <si>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</si>
  <si>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</si>
  <si>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</si>
  <si>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</si>
  <si>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</si>
  <si>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</si>
  <si>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</si>
  <si>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</si>
  <si>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</si>
  <si>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</si>
  <si>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</si>
  <si>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</si>
  <si>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</si>
  <si>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</si>
  <si>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</si>
  <si>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</si>
  <si>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</si>
  <si>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</si>
  <si>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</si>
  <si>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</si>
  <si>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</si>
  <si>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</si>
  <si>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</si>
  <si>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</si>
  <si>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</si>
  <si>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</si>
  <si>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</si>
  <si>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</si>
  <si>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</si>
  <si>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</si>
  <si>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</si>
  <si>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</si>
  <si>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</si>
  <si>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</si>
  <si>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</si>
  <si>
    <t>รายได้ค้างรับจากรัฐบาล</t>
  </si>
  <si>
    <t>เจ้าหนี้เงินสะสม</t>
  </si>
  <si>
    <t>41100000</t>
  </si>
  <si>
    <t>41200000</t>
  </si>
  <si>
    <t>41300000</t>
  </si>
  <si>
    <t>41500000</t>
  </si>
  <si>
    <t>42100000</t>
  </si>
  <si>
    <t>43100000</t>
  </si>
  <si>
    <t>11043001</t>
  </si>
  <si>
    <t>11043002</t>
  </si>
  <si>
    <t>11045000</t>
  </si>
  <si>
    <t>11041000</t>
  </si>
  <si>
    <t>11047000</t>
  </si>
  <si>
    <t>11046000</t>
  </si>
  <si>
    <t>31000000</t>
  </si>
  <si>
    <t>32000000</t>
  </si>
  <si>
    <t>22012002</t>
  </si>
  <si>
    <t>21100000</t>
  </si>
  <si>
    <t>21300000</t>
  </si>
  <si>
    <t>51100000</t>
  </si>
  <si>
    <t>5220700</t>
  </si>
  <si>
    <t>5310000</t>
  </si>
  <si>
    <t>53200000</t>
  </si>
  <si>
    <t>5330000</t>
  </si>
  <si>
    <t>53400000</t>
  </si>
  <si>
    <t>5320000</t>
  </si>
  <si>
    <t>5340000</t>
  </si>
  <si>
    <t>5420000</t>
  </si>
  <si>
    <t>5610000</t>
  </si>
  <si>
    <t>5510000</t>
  </si>
  <si>
    <t>22011001</t>
  </si>
  <si>
    <t>22011002</t>
  </si>
  <si>
    <t>11032000</t>
  </si>
  <si>
    <t>5220000</t>
  </si>
  <si>
    <t>52200000</t>
  </si>
  <si>
    <t>53100000</t>
  </si>
  <si>
    <t>5100000</t>
  </si>
  <si>
    <t>5210000</t>
  </si>
  <si>
    <t>11012001</t>
  </si>
  <si>
    <t>11012002</t>
  </si>
  <si>
    <t>11012003</t>
  </si>
  <si>
    <t>ค่าครุภัณฑ์ -เงินอุดหนุนทั่วไปกำหนดวัตถุประสงค์สำหรับพัฒนาคุณภาพฯ</t>
  </si>
  <si>
    <t>44100001</t>
  </si>
  <si>
    <t>เงินรับฝาก-ค่าตอนแทน/ค่าครองชีพกรณีขาดราชการ</t>
  </si>
  <si>
    <t>21040000</t>
  </si>
  <si>
    <t>21030000</t>
  </si>
  <si>
    <t>54100000</t>
  </si>
  <si>
    <t>21010000</t>
  </si>
  <si>
    <t>21020000</t>
  </si>
  <si>
    <t>12010010</t>
  </si>
  <si>
    <t>12010000</t>
  </si>
  <si>
    <t>54200000</t>
  </si>
  <si>
    <t>56100000</t>
  </si>
  <si>
    <t>11061100</t>
  </si>
  <si>
    <t>210300000</t>
  </si>
  <si>
    <t>40000000</t>
  </si>
  <si>
    <t>24010000</t>
  </si>
  <si>
    <t>44100000</t>
  </si>
  <si>
    <t>หมวดเงินอุดหนุนทั่วไปกำหนดวัตถุประสงค์</t>
  </si>
  <si>
    <t>ปีงบประมาณ   2560     ประจำเดือน กรกฎาคม  2560</t>
  </si>
  <si>
    <t xml:space="preserve">ณ   วันที่ 30  มิถุนายน  พ.ศ. 2560 </t>
  </si>
  <si>
    <t>1  มิถุนายน  - 30  มิถุนายน 2560</t>
  </si>
  <si>
    <t>1  ตุลาคม  2559 -   30  มิถุนายน  2560</t>
  </si>
  <si>
    <t>เพียงวันที่   30  มิถุนายน   2560</t>
  </si>
  <si>
    <t>เงินอุดหนุนทั่วไปกำหนดวัตถุประสงค์ค่าการศึกษาบุตร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</si>
</sst>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5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43" fontId="0" fillId="0" borderId="0" xfId="38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2" xfId="38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43" fontId="5" fillId="0" borderId="0" xfId="0" applyNumberFormat="1" applyFont="1" applyAlignment="1">
      <alignment horizontal="center" vertical="center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3" xfId="0" applyFont="1" applyFill="1" applyBorder="1" applyAlignment="1">
      <alignment/>
    </xf>
    <xf numFmtId="43" fontId="5" fillId="0" borderId="21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43" fontId="5" fillId="0" borderId="0" xfId="0" applyNumberFormat="1" applyFont="1" applyBorder="1" applyAlignment="1">
      <alignment vertical="top"/>
    </xf>
    <xf numFmtId="43" fontId="52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3" xfId="38" applyFont="1" applyBorder="1" applyAlignment="1">
      <alignment/>
    </xf>
    <xf numFmtId="43" fontId="7" fillId="0" borderId="29" xfId="0" applyNumberFormat="1" applyFont="1" applyBorder="1" applyAlignment="1">
      <alignment/>
    </xf>
    <xf numFmtId="43" fontId="7" fillId="0" borderId="28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43" fontId="7" fillId="0" borderId="28" xfId="38" applyFont="1" applyBorder="1" applyAlignment="1">
      <alignment/>
    </xf>
    <xf numFmtId="43" fontId="7" fillId="0" borderId="23" xfId="0" applyNumberFormat="1" applyFont="1" applyBorder="1" applyAlignment="1">
      <alignment/>
    </xf>
    <xf numFmtId="43" fontId="7" fillId="0" borderId="29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3" xfId="38" applyFont="1" applyBorder="1" applyAlignment="1">
      <alignment/>
    </xf>
    <xf numFmtId="43" fontId="7" fillId="0" borderId="35" xfId="38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6" xfId="0" applyFont="1" applyBorder="1" applyAlignment="1">
      <alignment/>
    </xf>
    <xf numFmtId="43" fontId="7" fillId="0" borderId="30" xfId="0" applyNumberFormat="1" applyFont="1" applyBorder="1" applyAlignment="1">
      <alignment/>
    </xf>
    <xf numFmtId="43" fontId="7" fillId="0" borderId="13" xfId="38" applyNumberFormat="1" applyFont="1" applyBorder="1" applyAlignment="1">
      <alignment/>
    </xf>
    <xf numFmtId="204" fontId="7" fillId="0" borderId="13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0" fillId="0" borderId="37" xfId="0" applyFont="1" applyFill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43" fontId="7" fillId="0" borderId="13" xfId="38" applyFont="1" applyBorder="1" applyAlignment="1">
      <alignment vertical="top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43" fontId="7" fillId="0" borderId="40" xfId="38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0" xfId="38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43" fontId="4" fillId="0" borderId="10" xfId="38" applyFont="1" applyBorder="1" applyAlignment="1">
      <alignment/>
    </xf>
    <xf numFmtId="43" fontId="5" fillId="0" borderId="10" xfId="38" applyFont="1" applyFill="1" applyBorder="1" applyAlignment="1">
      <alignment horizontal="left" vertical="center"/>
    </xf>
    <xf numFmtId="43" fontId="4" fillId="0" borderId="41" xfId="0" applyNumberFormat="1" applyFont="1" applyBorder="1" applyAlignment="1">
      <alignment/>
    </xf>
    <xf numFmtId="49" fontId="5" fillId="0" borderId="2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43" fontId="4" fillId="0" borderId="41" xfId="38" applyFont="1" applyBorder="1" applyAlignment="1">
      <alignment vertical="center"/>
    </xf>
    <xf numFmtId="43" fontId="5" fillId="0" borderId="13" xfId="38" applyFont="1" applyBorder="1" applyAlignment="1">
      <alignment vertical="top"/>
    </xf>
    <xf numFmtId="43" fontId="5" fillId="0" borderId="51" xfId="38" applyFont="1" applyBorder="1" applyAlignment="1">
      <alignment vertical="top"/>
    </xf>
    <xf numFmtId="0" fontId="10" fillId="0" borderId="28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9" fontId="5" fillId="0" borderId="13" xfId="0" applyNumberFormat="1" applyFont="1" applyBorder="1" applyAlignment="1">
      <alignment horizontal="center" vertical="top"/>
    </xf>
    <xf numFmtId="43" fontId="7" fillId="0" borderId="33" xfId="38" applyFont="1" applyBorder="1" applyAlignment="1">
      <alignment/>
    </xf>
    <xf numFmtId="0" fontId="13" fillId="0" borderId="13" xfId="0" applyFont="1" applyBorder="1" applyAlignment="1">
      <alignment vertical="top"/>
    </xf>
    <xf numFmtId="43" fontId="5" fillId="0" borderId="13" xfId="38" applyFont="1" applyBorder="1" applyAlignment="1">
      <alignment vertical="center"/>
    </xf>
    <xf numFmtId="0" fontId="5" fillId="0" borderId="0" xfId="0" applyFont="1" applyBorder="1" applyAlignment="1">
      <alignment horizontal="centerContinuous" vertical="top"/>
    </xf>
    <xf numFmtId="43" fontId="5" fillId="0" borderId="0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8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198" fontId="7" fillId="0" borderId="23" xfId="0" applyNumberFormat="1" applyFont="1" applyBorder="1" applyAlignment="1">
      <alignment/>
    </xf>
    <xf numFmtId="43" fontId="5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51;&#3610;&#3612;&#3656;&#3634;&#3609;&#3617;&#3634;&#3605;&#3619;&#3600;&#3634;&#3609;%202%20(&#3591;&#3611;&#3617;%206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6">
          <cell r="E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รายจ่ายอื่น"/>
      <sheetName val="ต.ค.59"/>
      <sheetName val="มี.ค.60"/>
      <sheetName val="พ.ค.60"/>
      <sheetName val="ม.ค.59"/>
      <sheetName val="ก.พ.59"/>
      <sheetName val="มี.ค.59"/>
      <sheetName val="เม.ย 59"/>
      <sheetName val="พ.ค.59"/>
      <sheetName val="มิ.ย.59"/>
      <sheetName val="ก.ค.59"/>
      <sheetName val="ส.ค.59"/>
      <sheetName val="ก.ย.57"/>
      <sheetName val="ต้นฉบับ"/>
    </sheetNames>
    <sheetDataSet>
      <sheetData sheetId="4">
        <row r="19">
          <cell r="I19">
            <v>16198088.65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2" zoomScaleSheetLayoutView="112" zoomScalePageLayoutView="0" workbookViewId="0" topLeftCell="B13">
      <selection activeCell="H53" sqref="H53"/>
    </sheetView>
  </sheetViews>
  <sheetFormatPr defaultColWidth="9.140625" defaultRowHeight="22.5" customHeight="1"/>
  <cols>
    <col min="1" max="1" width="2.7109375" style="16" customWidth="1"/>
    <col min="2" max="2" width="53.57421875" style="16" customWidth="1"/>
    <col min="3" max="3" width="18.00390625" style="16" customWidth="1"/>
    <col min="4" max="4" width="4.00390625" style="16" customWidth="1"/>
    <col min="5" max="5" width="18.421875" style="16" customWidth="1"/>
    <col min="6" max="6" width="9.140625" style="16" customWidth="1"/>
    <col min="7" max="7" width="16.421875" style="21" bestFit="1" customWidth="1"/>
    <col min="8" max="8" width="15.57421875" style="16" bestFit="1" customWidth="1"/>
    <col min="9" max="9" width="16.421875" style="21" bestFit="1" customWidth="1"/>
    <col min="10" max="10" width="15.57421875" style="16" bestFit="1" customWidth="1"/>
    <col min="11" max="16384" width="9.140625" style="16" customWidth="1"/>
  </cols>
  <sheetData>
    <row r="1" spans="2:5" ht="22.5" customHeight="1">
      <c r="B1" s="159" t="s">
        <v>147</v>
      </c>
      <c r="C1" s="159"/>
      <c r="D1" s="159"/>
      <c r="E1" s="159"/>
    </row>
    <row r="2" spans="2:5" ht="22.5" customHeight="1">
      <c r="B2" s="159" t="s">
        <v>32</v>
      </c>
      <c r="C2" s="159"/>
      <c r="D2" s="159"/>
      <c r="E2" s="159"/>
    </row>
    <row r="3" spans="2:5" ht="22.5" customHeight="1">
      <c r="B3" s="159" t="s">
        <v>280</v>
      </c>
      <c r="C3" s="159"/>
      <c r="D3" s="159"/>
      <c r="E3" s="159"/>
    </row>
    <row r="4" spans="1:5" ht="22.5" customHeight="1">
      <c r="A4" s="19" t="s">
        <v>33</v>
      </c>
      <c r="C4" s="20" t="s">
        <v>7</v>
      </c>
      <c r="E4" s="20" t="s">
        <v>34</v>
      </c>
    </row>
    <row r="5" spans="2:7" ht="22.5" customHeight="1">
      <c r="B5" s="16" t="s">
        <v>35</v>
      </c>
      <c r="C5" s="21">
        <v>17072864.17</v>
      </c>
      <c r="E5" s="21">
        <f>35828321.46+10874366.55+13355927.11+35796224.89+17168991.2+13860500.93+20027592.01+17019889.2+17072864.17</f>
        <v>181004677.51999998</v>
      </c>
      <c r="G5" s="21" t="s">
        <v>164</v>
      </c>
    </row>
    <row r="6" spans="2:9" ht="22.5" customHeight="1">
      <c r="B6" s="16" t="s">
        <v>36</v>
      </c>
      <c r="C6" s="21">
        <f>+หมายเหตุ!C32</f>
        <v>890297.8399999999</v>
      </c>
      <c r="E6" s="21">
        <f>940485.79+3796141.53+857340.71+800+3163896.24+2569460.71+1776493.05+915033.54+1094768.87+890297.84</f>
        <v>16004718.280000001</v>
      </c>
      <c r="G6" s="53" t="s">
        <v>165</v>
      </c>
      <c r="I6" s="53" t="s">
        <v>154</v>
      </c>
    </row>
    <row r="7" spans="2:7" ht="22.5" customHeight="1">
      <c r="B7" s="16" t="s">
        <v>89</v>
      </c>
      <c r="C7" s="21">
        <v>525886</v>
      </c>
      <c r="E7" s="21">
        <f>95600+1678594+1623220+1732600+1659380+1634033.12+1304381+929420+525886</f>
        <v>11183114.120000001</v>
      </c>
      <c r="G7" s="21" t="s">
        <v>169</v>
      </c>
    </row>
    <row r="8" spans="2:9" ht="22.5" customHeight="1">
      <c r="B8" s="16" t="s">
        <v>90</v>
      </c>
      <c r="C8" s="21">
        <v>0</v>
      </c>
      <c r="E8" s="21">
        <f aca="true" t="shared" si="0" ref="E8:E16">+C8</f>
        <v>0</v>
      </c>
      <c r="G8" s="21" t="s">
        <v>169</v>
      </c>
      <c r="I8" s="21">
        <v>0</v>
      </c>
    </row>
    <row r="9" spans="2:5" ht="22.5" customHeight="1">
      <c r="B9" s="16" t="s">
        <v>213</v>
      </c>
      <c r="C9" s="21">
        <v>1000</v>
      </c>
      <c r="E9" s="21">
        <f>32700+13700+12857+1000+1000+1000+27000+1000</f>
        <v>90257</v>
      </c>
    </row>
    <row r="10" spans="2:5" ht="22.5" customHeight="1">
      <c r="B10" s="16" t="s">
        <v>124</v>
      </c>
      <c r="C10" s="21">
        <v>22400</v>
      </c>
      <c r="E10" s="21">
        <f>30400+22400</f>
        <v>52800</v>
      </c>
    </row>
    <row r="11" spans="2:9" ht="22.5" customHeight="1">
      <c r="B11" s="16" t="s">
        <v>66</v>
      </c>
      <c r="C11" s="21">
        <v>0</v>
      </c>
      <c r="E11" s="21">
        <f t="shared" si="0"/>
        <v>0</v>
      </c>
      <c r="I11" s="21" t="s">
        <v>154</v>
      </c>
    </row>
    <row r="12" spans="2:5" ht="22.5" customHeight="1">
      <c r="B12" s="16" t="s">
        <v>109</v>
      </c>
      <c r="C12" s="21">
        <v>0</v>
      </c>
      <c r="E12" s="21">
        <f t="shared" si="0"/>
        <v>0</v>
      </c>
    </row>
    <row r="13" spans="2:5" ht="22.5" customHeight="1">
      <c r="B13" s="16" t="s">
        <v>173</v>
      </c>
      <c r="C13" s="21">
        <v>0</v>
      </c>
      <c r="E13" s="21">
        <f t="shared" si="0"/>
        <v>0</v>
      </c>
    </row>
    <row r="14" spans="2:7" ht="22.5" customHeight="1">
      <c r="B14" s="16" t="s">
        <v>148</v>
      </c>
      <c r="C14" s="21">
        <v>0</v>
      </c>
      <c r="E14" s="21">
        <f t="shared" si="0"/>
        <v>0</v>
      </c>
      <c r="G14" s="21" t="s">
        <v>179</v>
      </c>
    </row>
    <row r="15" spans="2:5" ht="19.5" customHeight="1" hidden="1">
      <c r="B15" s="26" t="s">
        <v>151</v>
      </c>
      <c r="C15" s="21"/>
      <c r="E15" s="21">
        <f t="shared" si="0"/>
        <v>0</v>
      </c>
    </row>
    <row r="16" spans="2:5" ht="22.5" customHeight="1" hidden="1">
      <c r="B16" s="16" t="s">
        <v>110</v>
      </c>
      <c r="C16" s="21"/>
      <c r="E16" s="21">
        <f t="shared" si="0"/>
        <v>0</v>
      </c>
    </row>
    <row r="17" spans="2:5" ht="22.5" customHeight="1">
      <c r="B17" s="16" t="s">
        <v>61</v>
      </c>
      <c r="C17" s="21">
        <v>0</v>
      </c>
      <c r="E17" s="21">
        <f>68202.38+20850+6500+15200</f>
        <v>110752.38</v>
      </c>
    </row>
    <row r="18" spans="2:5" ht="22.5" customHeight="1" hidden="1">
      <c r="B18" s="16" t="s">
        <v>116</v>
      </c>
      <c r="C18" s="21"/>
      <c r="E18" s="21"/>
    </row>
    <row r="19" spans="2:5" ht="22.5" customHeight="1" hidden="1">
      <c r="B19" s="16" t="s">
        <v>73</v>
      </c>
      <c r="C19" s="21"/>
      <c r="E19" s="21"/>
    </row>
    <row r="20" spans="2:5" ht="22.5" customHeight="1" hidden="1">
      <c r="B20" s="16" t="s">
        <v>21</v>
      </c>
      <c r="C20" s="21"/>
      <c r="E20" s="21"/>
    </row>
    <row r="21" spans="2:5" ht="22.5" customHeight="1" hidden="1">
      <c r="B21" s="16" t="s">
        <v>30</v>
      </c>
      <c r="C21" s="21"/>
      <c r="E21" s="21"/>
    </row>
    <row r="22" spans="2:8" ht="22.5" customHeight="1">
      <c r="B22" s="16" t="s">
        <v>98</v>
      </c>
      <c r="C22" s="21">
        <v>1500</v>
      </c>
      <c r="E22" s="21">
        <f>63300+1500+700+700+600+2500+1500</f>
        <v>70800</v>
      </c>
      <c r="G22" s="76" t="s">
        <v>177</v>
      </c>
      <c r="H22" s="21">
        <v>18338664.49</v>
      </c>
    </row>
    <row r="23" spans="2:8" ht="22.5" customHeight="1">
      <c r="B23" s="16" t="s">
        <v>153</v>
      </c>
      <c r="C23" s="21">
        <v>21159.8</v>
      </c>
      <c r="E23" s="21">
        <f>19956.18+21071.43+90636.88+13090.31+21159.8</f>
        <v>165914.59999999998</v>
      </c>
      <c r="G23" s="76" t="s">
        <v>178</v>
      </c>
      <c r="H23" s="21">
        <v>461509</v>
      </c>
    </row>
    <row r="24" spans="2:8" ht="22.5" customHeight="1">
      <c r="B24" s="16" t="s">
        <v>216</v>
      </c>
      <c r="C24" s="21">
        <v>0</v>
      </c>
      <c r="E24" s="21">
        <f aca="true" t="shared" si="1" ref="E24:E32">+C24</f>
        <v>0</v>
      </c>
      <c r="G24" s="76" t="s">
        <v>181</v>
      </c>
      <c r="H24" s="21">
        <v>879265.19</v>
      </c>
    </row>
    <row r="25" spans="2:5" ht="22.5" customHeight="1" hidden="1">
      <c r="B25" s="16" t="s">
        <v>97</v>
      </c>
      <c r="C25" s="21"/>
      <c r="E25" s="21">
        <f t="shared" si="1"/>
        <v>0</v>
      </c>
    </row>
    <row r="26" spans="2:5" ht="22.5" customHeight="1" hidden="1">
      <c r="B26" s="16" t="s">
        <v>93</v>
      </c>
      <c r="C26" s="21"/>
      <c r="E26" s="21">
        <f t="shared" si="1"/>
        <v>0</v>
      </c>
    </row>
    <row r="27" spans="2:8" ht="22.5" customHeight="1">
      <c r="B27" s="16" t="s">
        <v>94</v>
      </c>
      <c r="C27" s="21">
        <v>0</v>
      </c>
      <c r="E27" s="21">
        <f t="shared" si="1"/>
        <v>0</v>
      </c>
      <c r="H27" s="75">
        <f>SUM(H22:H26)</f>
        <v>19679438.68</v>
      </c>
    </row>
    <row r="28" spans="2:5" ht="22.5" customHeight="1">
      <c r="B28" s="16" t="s">
        <v>96</v>
      </c>
      <c r="C28" s="21">
        <v>12.63</v>
      </c>
      <c r="E28" s="21">
        <f>20+256+170+3+12.63</f>
        <v>461.63</v>
      </c>
    </row>
    <row r="29" spans="2:5" ht="22.5" customHeight="1" hidden="1">
      <c r="B29" s="16" t="s">
        <v>118</v>
      </c>
      <c r="C29" s="21"/>
      <c r="E29" s="21">
        <f t="shared" si="1"/>
        <v>0</v>
      </c>
    </row>
    <row r="30" spans="2:5" ht="22.5" customHeight="1" hidden="1">
      <c r="B30" s="16" t="s">
        <v>91</v>
      </c>
      <c r="C30" s="21"/>
      <c r="E30" s="21">
        <f t="shared" si="1"/>
        <v>0</v>
      </c>
    </row>
    <row r="31" spans="2:9" ht="22.5" customHeight="1">
      <c r="B31" s="16" t="s">
        <v>168</v>
      </c>
      <c r="C31" s="21">
        <v>0</v>
      </c>
      <c r="E31" s="21">
        <f>10680+11905</f>
        <v>22585</v>
      </c>
      <c r="G31" s="21" t="s">
        <v>154</v>
      </c>
      <c r="I31" s="21">
        <f>+H27-C33</f>
        <v>1144318.2399999984</v>
      </c>
    </row>
    <row r="32" spans="2:5" ht="22.5" customHeight="1">
      <c r="B32" s="16" t="s">
        <v>118</v>
      </c>
      <c r="C32" s="21">
        <v>0</v>
      </c>
      <c r="E32" s="21">
        <f t="shared" si="1"/>
        <v>0</v>
      </c>
    </row>
    <row r="33" spans="2:7" ht="22.5" customHeight="1" thickBot="1">
      <c r="B33" s="22" t="s">
        <v>31</v>
      </c>
      <c r="C33" s="23">
        <f>SUM(C5:C32)</f>
        <v>18535120.44</v>
      </c>
      <c r="D33" s="24"/>
      <c r="E33" s="23">
        <f>SUM(E5:E32)</f>
        <v>208706080.52999997</v>
      </c>
      <c r="G33" s="21" t="s">
        <v>180</v>
      </c>
    </row>
    <row r="34" spans="2:5" ht="22.5" customHeight="1" thickTop="1">
      <c r="B34" s="22"/>
      <c r="C34" s="60"/>
      <c r="D34" s="24"/>
      <c r="E34" s="60"/>
    </row>
    <row r="35" spans="2:5" ht="22.5" customHeight="1">
      <c r="B35" s="22"/>
      <c r="C35" s="60"/>
      <c r="D35" s="24"/>
      <c r="E35" s="60"/>
    </row>
    <row r="36" spans="2:5" ht="22.5" customHeight="1">
      <c r="B36" s="22" t="s">
        <v>154</v>
      </c>
      <c r="C36" s="60"/>
      <c r="D36" s="24"/>
      <c r="E36" s="60"/>
    </row>
    <row r="37" spans="2:5" ht="22.5" customHeight="1">
      <c r="B37" s="22"/>
      <c r="C37" s="60"/>
      <c r="D37" s="24"/>
      <c r="E37" s="60"/>
    </row>
    <row r="38" spans="2:5" ht="22.5" customHeight="1">
      <c r="B38" s="22"/>
      <c r="C38" s="60"/>
      <c r="D38" s="24"/>
      <c r="E38" s="60"/>
    </row>
    <row r="39" spans="2:5" ht="22.5" customHeight="1">
      <c r="B39" s="22"/>
      <c r="C39" s="60"/>
      <c r="D39" s="24"/>
      <c r="E39" s="60"/>
    </row>
    <row r="40" spans="2:5" ht="22.5" customHeight="1">
      <c r="B40" s="22"/>
      <c r="C40" s="60"/>
      <c r="D40" s="24"/>
      <c r="E40" s="60"/>
    </row>
    <row r="41" spans="2:5" ht="22.5" customHeight="1">
      <c r="B41" s="22"/>
      <c r="C41" s="60"/>
      <c r="D41" s="24"/>
      <c r="E41" s="60"/>
    </row>
    <row r="42" spans="2:5" ht="22.5" customHeight="1">
      <c r="B42" s="22"/>
      <c r="C42" s="60"/>
      <c r="D42" s="24"/>
      <c r="E42" s="60"/>
    </row>
    <row r="43" spans="2:5" ht="22.5" customHeight="1">
      <c r="B43" s="22"/>
      <c r="C43" s="60"/>
      <c r="D43" s="24"/>
      <c r="E43" s="60"/>
    </row>
    <row r="44" spans="2:5" ht="22.5" customHeight="1">
      <c r="B44" s="22" t="s">
        <v>201</v>
      </c>
      <c r="C44" s="60"/>
      <c r="D44" s="24"/>
      <c r="E44" s="60"/>
    </row>
    <row r="45" spans="1:5" ht="22.5" customHeight="1">
      <c r="A45" s="19" t="s">
        <v>13</v>
      </c>
      <c r="B45" s="24"/>
      <c r="C45" s="20" t="s">
        <v>7</v>
      </c>
      <c r="E45" s="20" t="s">
        <v>34</v>
      </c>
    </row>
    <row r="46" spans="2:10" ht="22.5" customHeight="1">
      <c r="B46" s="16" t="s">
        <v>67</v>
      </c>
      <c r="C46" s="21">
        <v>16688074.65</v>
      </c>
      <c r="E46" s="21">
        <f>8548195.88+15300+14552326.94+10190501.79+14677263.25+15479862.47+15814313.76+15766986.51+26607235.08+880840+16688074.65</f>
        <v>139220900.33</v>
      </c>
      <c r="G46" s="21" t="s">
        <v>171</v>
      </c>
      <c r="J46" s="75">
        <f>+'[2]พ.ค.60'!$I$19</f>
        <v>16198088.65</v>
      </c>
    </row>
    <row r="47" spans="2:5" ht="22.5" customHeight="1" hidden="1">
      <c r="B47" s="16" t="s">
        <v>102</v>
      </c>
      <c r="C47" s="21"/>
      <c r="E47" s="21">
        <f aca="true" t="shared" si="2" ref="E47:E61">+C47</f>
        <v>0</v>
      </c>
    </row>
    <row r="48" spans="2:5" ht="22.5" customHeight="1" hidden="1">
      <c r="B48" s="16" t="s">
        <v>127</v>
      </c>
      <c r="C48" s="21"/>
      <c r="E48" s="21">
        <f t="shared" si="2"/>
        <v>0</v>
      </c>
    </row>
    <row r="49" spans="2:5" ht="22.5" customHeight="1" hidden="1">
      <c r="B49" s="16" t="s">
        <v>111</v>
      </c>
      <c r="C49" s="21"/>
      <c r="E49" s="21">
        <f t="shared" si="2"/>
        <v>0</v>
      </c>
    </row>
    <row r="50" spans="2:7" ht="22.5" customHeight="1">
      <c r="B50" s="16" t="s">
        <v>68</v>
      </c>
      <c r="C50" s="21">
        <f>+หมายเหตุ!D32</f>
        <v>1132561.27</v>
      </c>
      <c r="E50" s="21">
        <f>715046.52+1028367.48+3345496.48+1612704.96+1449421.98+3391495.96+1771533+1090660.05+1132561.27</f>
        <v>15537287.7</v>
      </c>
      <c r="G50" s="21" t="s">
        <v>167</v>
      </c>
    </row>
    <row r="51" spans="2:7" ht="22.5" customHeight="1">
      <c r="B51" s="50" t="s">
        <v>69</v>
      </c>
      <c r="C51" s="21">
        <v>0</v>
      </c>
      <c r="E51" s="21">
        <v>0</v>
      </c>
      <c r="G51" s="21" t="s">
        <v>166</v>
      </c>
    </row>
    <row r="52" spans="2:5" ht="22.5" customHeight="1">
      <c r="B52" s="50" t="s">
        <v>176</v>
      </c>
      <c r="C52" s="21">
        <v>0</v>
      </c>
      <c r="E52" s="21">
        <f t="shared" si="2"/>
        <v>0</v>
      </c>
    </row>
    <row r="53" spans="2:7" ht="22.5" customHeight="1">
      <c r="B53" s="16" t="s">
        <v>70</v>
      </c>
      <c r="C53" s="21">
        <v>716960</v>
      </c>
      <c r="E53" s="21">
        <f>45944+3252420+189150+1689150+1767054+1566640.12+1431770+747886+716960</f>
        <v>11406974.120000001</v>
      </c>
      <c r="G53" s="21" t="s">
        <v>166</v>
      </c>
    </row>
    <row r="54" spans="2:7" ht="22.5" customHeight="1">
      <c r="B54" s="16" t="s">
        <v>71</v>
      </c>
      <c r="C54" s="21">
        <v>0</v>
      </c>
      <c r="E54" s="21">
        <f t="shared" si="2"/>
        <v>0</v>
      </c>
      <c r="G54" s="21" t="s">
        <v>166</v>
      </c>
    </row>
    <row r="55" spans="2:5" ht="22.5" customHeight="1">
      <c r="B55" s="16" t="s">
        <v>214</v>
      </c>
      <c r="C55" s="21">
        <v>15600</v>
      </c>
      <c r="E55" s="21">
        <f>23600+6800+6800+15600</f>
        <v>52800</v>
      </c>
    </row>
    <row r="56" spans="2:7" ht="22.5" customHeight="1">
      <c r="B56" s="16" t="s">
        <v>86</v>
      </c>
      <c r="C56" s="21">
        <v>0</v>
      </c>
      <c r="E56" s="21">
        <v>237847.96</v>
      </c>
      <c r="G56" s="21" t="s">
        <v>166</v>
      </c>
    </row>
    <row r="57" spans="2:7" ht="22.5" customHeight="1">
      <c r="B57" s="16" t="s">
        <v>73</v>
      </c>
      <c r="C57" s="21">
        <v>0</v>
      </c>
      <c r="E57" s="21">
        <v>78200</v>
      </c>
      <c r="G57" s="21" t="s">
        <v>166</v>
      </c>
    </row>
    <row r="58" spans="2:7" ht="22.5" customHeight="1">
      <c r="B58" s="16" t="s">
        <v>21</v>
      </c>
      <c r="C58" s="21">
        <v>0</v>
      </c>
      <c r="E58" s="21">
        <f>34000+132800+400786.5+4780000</f>
        <v>5347586.5</v>
      </c>
      <c r="G58" s="21" t="s">
        <v>166</v>
      </c>
    </row>
    <row r="59" spans="2:7" ht="22.5" customHeight="1">
      <c r="B59" s="16" t="s">
        <v>30</v>
      </c>
      <c r="C59" s="21">
        <v>0</v>
      </c>
      <c r="E59" s="21">
        <f t="shared" si="2"/>
        <v>0</v>
      </c>
      <c r="G59" s="21" t="s">
        <v>166</v>
      </c>
    </row>
    <row r="60" spans="2:5" ht="22.5" customHeight="1" hidden="1">
      <c r="B60" s="16" t="s">
        <v>72</v>
      </c>
      <c r="C60" s="21"/>
      <c r="E60" s="21">
        <f t="shared" si="2"/>
        <v>0</v>
      </c>
    </row>
    <row r="61" spans="2:5" ht="22.5" customHeight="1">
      <c r="B61" s="16" t="s">
        <v>92</v>
      </c>
      <c r="C61" s="21">
        <v>0</v>
      </c>
      <c r="E61" s="21">
        <f t="shared" si="2"/>
        <v>0</v>
      </c>
    </row>
    <row r="62" spans="2:7" ht="22.5" customHeight="1" thickBot="1">
      <c r="B62" s="22" t="s">
        <v>31</v>
      </c>
      <c r="C62" s="23">
        <f>SUM(C46:C61)</f>
        <v>18553195.92</v>
      </c>
      <c r="D62" s="24"/>
      <c r="E62" s="23">
        <f>SUM(E46:E61)</f>
        <v>171881596.61</v>
      </c>
      <c r="G62" s="21">
        <v>0</v>
      </c>
    </row>
    <row r="63" spans="2:7" ht="22.5" customHeight="1" thickBot="1" thickTop="1">
      <c r="B63" s="24" t="s">
        <v>38</v>
      </c>
      <c r="C63" s="25">
        <f>C33-C62</f>
        <v>-18075.480000000447</v>
      </c>
      <c r="D63" s="24"/>
      <c r="E63" s="25">
        <f>E33-E62</f>
        <v>36824483.91999996</v>
      </c>
      <c r="G63" s="21" t="s">
        <v>154</v>
      </c>
    </row>
    <row r="64" ht="22.5" customHeight="1" thickTop="1">
      <c r="B64" s="16" t="s">
        <v>154</v>
      </c>
    </row>
    <row r="67" spans="7:8" ht="22.5" customHeight="1">
      <c r="G67" s="21">
        <v>19227962.38</v>
      </c>
      <c r="H67" s="75">
        <f>+G67-C62</f>
        <v>674766.4599999972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124" zoomScaleSheetLayoutView="124" zoomScalePageLayoutView="0" workbookViewId="0" topLeftCell="A22">
      <selection activeCell="H29" sqref="H29"/>
    </sheetView>
  </sheetViews>
  <sheetFormatPr defaultColWidth="9.140625" defaultRowHeight="21.75" customHeight="1"/>
  <cols>
    <col min="1" max="1" width="5.7109375" style="17" customWidth="1"/>
    <col min="2" max="2" width="7.7109375" style="17" customWidth="1"/>
    <col min="3" max="3" width="51.00390625" style="17" customWidth="1"/>
    <col min="4" max="4" width="10.00390625" style="17" customWidth="1"/>
    <col min="5" max="5" width="18.421875" style="17" customWidth="1"/>
    <col min="6" max="6" width="19.140625" style="17" customWidth="1"/>
    <col min="7" max="7" width="9.140625" style="17" customWidth="1"/>
    <col min="8" max="9" width="16.421875" style="17" bestFit="1" customWidth="1"/>
    <col min="10" max="10" width="14.8515625" style="17" customWidth="1"/>
    <col min="11" max="16384" width="9.140625" style="17" customWidth="1"/>
  </cols>
  <sheetData>
    <row r="1" spans="1:6" ht="23.25" customHeight="1">
      <c r="A1" s="161" t="s">
        <v>147</v>
      </c>
      <c r="B1" s="161"/>
      <c r="C1" s="161"/>
      <c r="D1" s="161"/>
      <c r="E1" s="161"/>
      <c r="F1" s="161"/>
    </row>
    <row r="2" spans="1:6" ht="23.25" customHeight="1">
      <c r="A2" s="161" t="s">
        <v>39</v>
      </c>
      <c r="B2" s="161"/>
      <c r="C2" s="161"/>
      <c r="D2" s="161"/>
      <c r="E2" s="161"/>
      <c r="F2" s="161"/>
    </row>
    <row r="3" spans="1:6" ht="23.25" customHeight="1">
      <c r="A3" s="162" t="s">
        <v>277</v>
      </c>
      <c r="B3" s="162"/>
      <c r="C3" s="162"/>
      <c r="D3" s="162"/>
      <c r="E3" s="162"/>
      <c r="F3" s="162"/>
    </row>
    <row r="4" spans="1:6" ht="23.25" customHeight="1">
      <c r="A4" s="163" t="s">
        <v>4</v>
      </c>
      <c r="B4" s="164"/>
      <c r="C4" s="165"/>
      <c r="D4" s="31" t="s">
        <v>40</v>
      </c>
      <c r="E4" s="31" t="s">
        <v>41</v>
      </c>
      <c r="F4" s="31" t="s">
        <v>42</v>
      </c>
    </row>
    <row r="5" spans="1:6" ht="22.5" customHeight="1" hidden="1">
      <c r="A5" s="131" t="s">
        <v>196</v>
      </c>
      <c r="B5" s="132"/>
      <c r="C5" s="133"/>
      <c r="D5" s="32">
        <v>111100</v>
      </c>
      <c r="E5" s="27">
        <v>0</v>
      </c>
      <c r="F5" s="33"/>
    </row>
    <row r="6" spans="1:9" ht="22.5" customHeight="1">
      <c r="A6" s="134" t="s">
        <v>43</v>
      </c>
      <c r="B6" s="135"/>
      <c r="C6" s="136"/>
      <c r="D6" s="34" t="s">
        <v>255</v>
      </c>
      <c r="E6" s="18">
        <v>50891227.91</v>
      </c>
      <c r="F6" s="18"/>
      <c r="H6" s="77"/>
      <c r="I6" s="47"/>
    </row>
    <row r="7" spans="1:9" ht="22.5" customHeight="1">
      <c r="A7" s="35" t="s">
        <v>64</v>
      </c>
      <c r="B7" s="36"/>
      <c r="C7" s="37"/>
      <c r="D7" s="34" t="s">
        <v>255</v>
      </c>
      <c r="E7" s="18">
        <v>284723.77</v>
      </c>
      <c r="F7" s="18"/>
      <c r="H7" s="77" t="s">
        <v>197</v>
      </c>
      <c r="I7" s="47"/>
    </row>
    <row r="8" spans="1:9" ht="22.5" customHeight="1">
      <c r="A8" s="35" t="s">
        <v>62</v>
      </c>
      <c r="B8" s="36"/>
      <c r="C8" s="37"/>
      <c r="D8" s="34" t="s">
        <v>256</v>
      </c>
      <c r="E8" s="18">
        <v>5442793.4</v>
      </c>
      <c r="F8" s="18"/>
      <c r="H8" s="77"/>
      <c r="I8" s="47"/>
    </row>
    <row r="9" spans="1:9" ht="22.5" customHeight="1">
      <c r="A9" s="35" t="s">
        <v>60</v>
      </c>
      <c r="B9" s="36"/>
      <c r="C9" s="37"/>
      <c r="D9" s="34" t="s">
        <v>257</v>
      </c>
      <c r="E9" s="18">
        <v>8877847.83</v>
      </c>
      <c r="F9" s="18"/>
      <c r="H9" s="77"/>
      <c r="I9" s="47"/>
    </row>
    <row r="10" spans="1:9" ht="22.5" customHeight="1">
      <c r="A10" s="35" t="s">
        <v>119</v>
      </c>
      <c r="B10" s="36"/>
      <c r="C10" s="37"/>
      <c r="D10" s="34" t="s">
        <v>255</v>
      </c>
      <c r="E10" s="18">
        <v>565584.73</v>
      </c>
      <c r="F10" s="18"/>
      <c r="H10" s="77"/>
      <c r="I10" s="47"/>
    </row>
    <row r="11" spans="1:9" ht="22.5" customHeight="1">
      <c r="A11" s="35" t="s">
        <v>120</v>
      </c>
      <c r="B11" s="36"/>
      <c r="C11" s="37"/>
      <c r="D11" s="34" t="s">
        <v>256</v>
      </c>
      <c r="E11" s="18">
        <v>10000000</v>
      </c>
      <c r="F11" s="18"/>
      <c r="H11" s="77"/>
      <c r="I11" s="47"/>
    </row>
    <row r="12" spans="1:9" ht="22.5" customHeight="1">
      <c r="A12" s="35" t="s">
        <v>123</v>
      </c>
      <c r="B12" s="36"/>
      <c r="C12" s="37"/>
      <c r="D12" s="34" t="s">
        <v>255</v>
      </c>
      <c r="E12" s="18">
        <v>496511.71</v>
      </c>
      <c r="F12" s="18"/>
      <c r="H12" s="77">
        <f>+E12+E11+E10+E9+E8+E7+E6</f>
        <v>76558689.35</v>
      </c>
      <c r="I12" s="47"/>
    </row>
    <row r="13" spans="1:9" ht="22.5" customHeight="1">
      <c r="A13" s="39" t="s">
        <v>28</v>
      </c>
      <c r="B13" s="40"/>
      <c r="C13" s="41"/>
      <c r="D13" s="51" t="s">
        <v>249</v>
      </c>
      <c r="E13" s="48">
        <v>9141700.08</v>
      </c>
      <c r="F13" s="18"/>
      <c r="I13" s="47"/>
    </row>
    <row r="14" spans="1:6" ht="22.5" customHeight="1">
      <c r="A14" s="35" t="s">
        <v>101</v>
      </c>
      <c r="B14" s="36"/>
      <c r="C14" s="37"/>
      <c r="D14" s="34" t="s">
        <v>266</v>
      </c>
      <c r="E14" s="18">
        <v>88852383</v>
      </c>
      <c r="F14" s="18"/>
    </row>
    <row r="15" spans="1:6" ht="22.5" customHeight="1" hidden="1">
      <c r="A15" s="35" t="s">
        <v>91</v>
      </c>
      <c r="B15" s="36"/>
      <c r="C15" s="37"/>
      <c r="D15" s="34" t="s">
        <v>141</v>
      </c>
      <c r="E15" s="18"/>
      <c r="F15" s="18"/>
    </row>
    <row r="16" spans="1:6" ht="22.5" customHeight="1">
      <c r="A16" s="35" t="s">
        <v>37</v>
      </c>
      <c r="B16" s="36"/>
      <c r="C16" s="37"/>
      <c r="D16" s="34" t="s">
        <v>225</v>
      </c>
      <c r="E16" s="18">
        <v>46351</v>
      </c>
      <c r="F16" s="18"/>
    </row>
    <row r="17" spans="1:6" ht="22.5" customHeight="1" hidden="1">
      <c r="A17" s="35" t="s">
        <v>198</v>
      </c>
      <c r="B17" s="36"/>
      <c r="C17" s="37"/>
      <c r="D17" s="34" t="s">
        <v>135</v>
      </c>
      <c r="E17" s="18"/>
      <c r="F17" s="18"/>
    </row>
    <row r="18" spans="1:6" ht="22.5" customHeight="1">
      <c r="A18" s="35" t="s">
        <v>63</v>
      </c>
      <c r="B18" s="36"/>
      <c r="C18" s="37"/>
      <c r="D18" s="34" t="s">
        <v>227</v>
      </c>
      <c r="E18" s="18">
        <v>1000</v>
      </c>
      <c r="F18" s="18"/>
    </row>
    <row r="19" spans="1:6" ht="22.5" customHeight="1">
      <c r="A19" s="35" t="s">
        <v>54</v>
      </c>
      <c r="B19" s="36"/>
      <c r="C19" s="37"/>
      <c r="D19" s="34" t="s">
        <v>228</v>
      </c>
      <c r="E19" s="18">
        <v>302060</v>
      </c>
      <c r="F19" s="18"/>
    </row>
    <row r="20" spans="1:6" ht="22.5" customHeight="1">
      <c r="A20" s="35" t="s">
        <v>88</v>
      </c>
      <c r="B20" s="36"/>
      <c r="C20" s="37"/>
      <c r="D20" s="34" t="s">
        <v>229</v>
      </c>
      <c r="E20" s="48">
        <v>450700</v>
      </c>
      <c r="F20" s="18"/>
    </row>
    <row r="21" spans="1:6" ht="22.5" customHeight="1" hidden="1">
      <c r="A21" s="35" t="s">
        <v>145</v>
      </c>
      <c r="B21" s="36"/>
      <c r="C21" s="37"/>
      <c r="D21" s="34" t="s">
        <v>137</v>
      </c>
      <c r="E21" s="48"/>
      <c r="F21" s="18"/>
    </row>
    <row r="22" spans="1:6" ht="22.5" customHeight="1">
      <c r="A22" s="35" t="s">
        <v>215</v>
      </c>
      <c r="B22" s="36"/>
      <c r="C22" s="37"/>
      <c r="D22" s="34" t="s">
        <v>230</v>
      </c>
      <c r="E22" s="48">
        <v>0</v>
      </c>
      <c r="F22" s="18"/>
    </row>
    <row r="23" spans="1:6" ht="22.5" customHeight="1">
      <c r="A23" s="35" t="s">
        <v>14</v>
      </c>
      <c r="B23" s="36"/>
      <c r="C23" s="37"/>
      <c r="D23" s="34" t="s">
        <v>253</v>
      </c>
      <c r="E23" s="18">
        <v>30170756.81</v>
      </c>
      <c r="F23" s="18"/>
    </row>
    <row r="24" spans="1:7" ht="22.5" customHeight="1">
      <c r="A24" s="35" t="s">
        <v>112</v>
      </c>
      <c r="B24" s="36"/>
      <c r="C24" s="37"/>
      <c r="D24" s="34" t="s">
        <v>254</v>
      </c>
      <c r="E24" s="18">
        <v>1538730</v>
      </c>
      <c r="F24" s="18"/>
      <c r="G24" s="17" t="s">
        <v>172</v>
      </c>
    </row>
    <row r="25" spans="1:7" ht="22.5" customHeight="1">
      <c r="A25" s="35" t="s">
        <v>146</v>
      </c>
      <c r="B25" s="36"/>
      <c r="C25" s="37"/>
      <c r="D25" s="34" t="s">
        <v>250</v>
      </c>
      <c r="E25" s="18">
        <v>19338561.36</v>
      </c>
      <c r="F25" s="18"/>
      <c r="G25" s="17" t="s">
        <v>172</v>
      </c>
    </row>
    <row r="26" spans="1:8" ht="22.5" customHeight="1">
      <c r="A26" s="35" t="s">
        <v>149</v>
      </c>
      <c r="B26" s="36"/>
      <c r="C26" s="37"/>
      <c r="D26" s="34" t="s">
        <v>250</v>
      </c>
      <c r="E26" s="18">
        <v>759060</v>
      </c>
      <c r="F26" s="18"/>
      <c r="G26" s="17" t="s">
        <v>172</v>
      </c>
      <c r="H26" s="47">
        <f>+E25+E26+E27</f>
        <v>49762725.36</v>
      </c>
    </row>
    <row r="27" spans="1:8" ht="22.5" customHeight="1">
      <c r="A27" s="35" t="s">
        <v>150</v>
      </c>
      <c r="B27" s="36"/>
      <c r="C27" s="37"/>
      <c r="D27" s="34" t="s">
        <v>250</v>
      </c>
      <c r="E27" s="18">
        <v>29665104</v>
      </c>
      <c r="F27" s="18"/>
      <c r="G27" s="17" t="s">
        <v>172</v>
      </c>
      <c r="H27" s="47"/>
    </row>
    <row r="28" spans="1:8" ht="22.5" customHeight="1">
      <c r="A28" s="35" t="s">
        <v>15</v>
      </c>
      <c r="B28" s="36"/>
      <c r="C28" s="37"/>
      <c r="D28" s="34" t="s">
        <v>238</v>
      </c>
      <c r="E28" s="18">
        <v>1838651.08</v>
      </c>
      <c r="F28" s="18"/>
      <c r="H28" s="47">
        <f>+E23+E24+E25+E26+E27+E28+E30+E31+E32</f>
        <v>105124476.97</v>
      </c>
    </row>
    <row r="29" spans="1:8" ht="22.5" customHeight="1">
      <c r="A29" s="15" t="s">
        <v>281</v>
      </c>
      <c r="B29" s="38"/>
      <c r="C29" s="37"/>
      <c r="D29" s="147" t="s">
        <v>259</v>
      </c>
      <c r="E29" s="18">
        <v>12900</v>
      </c>
      <c r="F29" s="18"/>
      <c r="H29" s="47"/>
    </row>
    <row r="30" spans="1:6" ht="22.5" customHeight="1">
      <c r="A30" s="35" t="s">
        <v>16</v>
      </c>
      <c r="B30" s="36"/>
      <c r="C30" s="37"/>
      <c r="D30" s="34" t="s">
        <v>242</v>
      </c>
      <c r="E30" s="18">
        <v>13960009.3</v>
      </c>
      <c r="F30" s="18"/>
    </row>
    <row r="31" spans="1:6" ht="22.5" customHeight="1">
      <c r="A31" s="35" t="s">
        <v>17</v>
      </c>
      <c r="B31" s="36"/>
      <c r="C31" s="37"/>
      <c r="D31" s="34" t="s">
        <v>240</v>
      </c>
      <c r="E31" s="18">
        <v>6357992.98</v>
      </c>
      <c r="F31" s="18"/>
    </row>
    <row r="32" spans="1:6" ht="22.5" customHeight="1">
      <c r="A32" s="35" t="s">
        <v>18</v>
      </c>
      <c r="B32" s="36"/>
      <c r="C32" s="37"/>
      <c r="D32" s="34" t="s">
        <v>243</v>
      </c>
      <c r="E32" s="18">
        <v>1495611.44</v>
      </c>
      <c r="F32" s="18"/>
    </row>
    <row r="33" spans="1:6" ht="22.5" customHeight="1">
      <c r="A33" s="35" t="s">
        <v>19</v>
      </c>
      <c r="B33" s="36"/>
      <c r="C33" s="37"/>
      <c r="D33" s="34" t="s">
        <v>263</v>
      </c>
      <c r="E33" s="18">
        <v>14893512.13</v>
      </c>
      <c r="F33" s="18"/>
    </row>
    <row r="34" spans="1:8" ht="22.5" customHeight="1">
      <c r="A34" s="29" t="s">
        <v>258</v>
      </c>
      <c r="B34" s="38"/>
      <c r="C34" s="37"/>
      <c r="D34" s="147" t="s">
        <v>259</v>
      </c>
      <c r="E34" s="18">
        <v>95900</v>
      </c>
      <c r="F34" s="18"/>
      <c r="H34" s="47">
        <f>+E34+E33</f>
        <v>14989412.13</v>
      </c>
    </row>
    <row r="35" spans="1:6" ht="22.5" customHeight="1">
      <c r="A35" s="97" t="s">
        <v>20</v>
      </c>
      <c r="B35" s="38"/>
      <c r="C35" s="37"/>
      <c r="D35" s="28" t="s">
        <v>268</v>
      </c>
      <c r="E35" s="18">
        <v>16167200</v>
      </c>
      <c r="F35" s="18"/>
    </row>
    <row r="36" spans="1:8" ht="22.5" customHeight="1">
      <c r="A36" s="29" t="s">
        <v>10</v>
      </c>
      <c r="B36" s="38"/>
      <c r="C36" s="37"/>
      <c r="D36" s="28" t="s">
        <v>269</v>
      </c>
      <c r="E36" s="18">
        <v>2667150</v>
      </c>
      <c r="F36" s="18"/>
      <c r="H36" s="47">
        <f>+E36+E35+E33+E32+E31+E30+E28+E27+E26+E25+E24+E23</f>
        <v>138852339.1</v>
      </c>
    </row>
    <row r="37" spans="1:6" ht="22.5" customHeight="1" hidden="1">
      <c r="A37" s="29" t="s">
        <v>125</v>
      </c>
      <c r="B37" s="38"/>
      <c r="C37" s="37"/>
      <c r="D37" s="28" t="s">
        <v>126</v>
      </c>
      <c r="E37" s="18"/>
      <c r="F37" s="18"/>
    </row>
    <row r="38" spans="1:6" ht="22.5" customHeight="1">
      <c r="A38" s="29" t="s">
        <v>217</v>
      </c>
      <c r="B38" s="38"/>
      <c r="C38" s="37"/>
      <c r="D38" s="28" t="s">
        <v>270</v>
      </c>
      <c r="E38" s="18">
        <v>450700</v>
      </c>
      <c r="F38" s="18"/>
    </row>
    <row r="39" spans="1:6" ht="22.5" customHeight="1">
      <c r="A39" s="29" t="s">
        <v>199</v>
      </c>
      <c r="B39" s="38"/>
      <c r="C39" s="37"/>
      <c r="D39" s="72" t="s">
        <v>271</v>
      </c>
      <c r="E39" s="18" t="s">
        <v>154</v>
      </c>
      <c r="F39" s="18">
        <v>0</v>
      </c>
    </row>
    <row r="40" spans="1:10" ht="22.5" customHeight="1">
      <c r="A40" s="35"/>
      <c r="B40" s="36" t="s">
        <v>99</v>
      </c>
      <c r="C40" s="37"/>
      <c r="D40" s="34" t="s">
        <v>272</v>
      </c>
      <c r="E40" s="18"/>
      <c r="F40" s="18">
        <v>181004677.52</v>
      </c>
      <c r="H40" s="17" t="s">
        <v>161</v>
      </c>
      <c r="I40" s="47">
        <v>163933803.35</v>
      </c>
      <c r="J40" s="47">
        <f>+F40-I40</f>
        <v>17070874.170000017</v>
      </c>
    </row>
    <row r="41" spans="1:8" ht="22.5" customHeight="1">
      <c r="A41" s="39"/>
      <c r="B41" s="40" t="s">
        <v>59</v>
      </c>
      <c r="C41" s="41"/>
      <c r="D41" s="147" t="s">
        <v>261</v>
      </c>
      <c r="E41" s="18"/>
      <c r="F41" s="98">
        <f>+หมายเหตุ!E32</f>
        <v>3329394.56</v>
      </c>
      <c r="H41" s="17" t="s">
        <v>167</v>
      </c>
    </row>
    <row r="42" spans="1:6" ht="22.5" customHeight="1" hidden="1">
      <c r="A42" s="39"/>
      <c r="B42" s="40" t="s">
        <v>139</v>
      </c>
      <c r="C42" s="41"/>
      <c r="D42" s="34" t="s">
        <v>140</v>
      </c>
      <c r="E42" s="18"/>
      <c r="F42" s="18">
        <v>0</v>
      </c>
    </row>
    <row r="43" spans="1:6" ht="22.5" customHeight="1">
      <c r="A43" s="39"/>
      <c r="B43" s="40" t="s">
        <v>21</v>
      </c>
      <c r="C43" s="41"/>
      <c r="D43" s="34" t="s">
        <v>234</v>
      </c>
      <c r="E43" s="18"/>
      <c r="F43" s="18">
        <v>0</v>
      </c>
    </row>
    <row r="44" spans="1:6" ht="22.5" customHeight="1" hidden="1">
      <c r="A44" s="39"/>
      <c r="B44" s="40" t="s">
        <v>73</v>
      </c>
      <c r="C44" s="41"/>
      <c r="D44" s="34" t="s">
        <v>138</v>
      </c>
      <c r="E44" s="18"/>
      <c r="F44" s="18"/>
    </row>
    <row r="45" spans="1:6" ht="22.5" customHeight="1" hidden="1">
      <c r="A45" s="39"/>
      <c r="B45" s="40" t="s">
        <v>200</v>
      </c>
      <c r="C45" s="41"/>
      <c r="D45" s="34" t="s">
        <v>143</v>
      </c>
      <c r="E45" s="18"/>
      <c r="F45" s="18"/>
    </row>
    <row r="46" spans="1:6" ht="22.5" customHeight="1">
      <c r="A46" s="39"/>
      <c r="B46" s="40" t="s">
        <v>100</v>
      </c>
      <c r="C46" s="41"/>
      <c r="D46" s="34" t="s">
        <v>233</v>
      </c>
      <c r="E46" s="18"/>
      <c r="F46" s="18">
        <v>28507322.96</v>
      </c>
    </row>
    <row r="47" spans="1:6" ht="22.5" customHeight="1">
      <c r="A47" s="39"/>
      <c r="B47" s="40" t="s">
        <v>218</v>
      </c>
      <c r="C47" s="41"/>
      <c r="D47" s="34" t="s">
        <v>273</v>
      </c>
      <c r="E47" s="18"/>
      <c r="F47" s="18">
        <v>450700</v>
      </c>
    </row>
    <row r="48" spans="1:6" ht="22.5" customHeight="1">
      <c r="A48" s="39"/>
      <c r="B48" s="40" t="s">
        <v>12</v>
      </c>
      <c r="C48" s="41"/>
      <c r="D48" s="51" t="s">
        <v>231</v>
      </c>
      <c r="E48" s="48"/>
      <c r="F48" s="48">
        <v>73060436.49</v>
      </c>
    </row>
    <row r="49" spans="1:6" ht="22.5" customHeight="1">
      <c r="A49" s="137"/>
      <c r="B49" s="40" t="s">
        <v>65</v>
      </c>
      <c r="C49" s="41"/>
      <c r="D49" s="129" t="s">
        <v>232</v>
      </c>
      <c r="E49" s="55"/>
      <c r="F49" s="55">
        <v>28412191</v>
      </c>
    </row>
    <row r="50" spans="1:8" ht="22.5" customHeight="1" thickBot="1">
      <c r="A50" s="138"/>
      <c r="B50" s="139"/>
      <c r="C50" s="140"/>
      <c r="D50" s="130"/>
      <c r="E50" s="141">
        <f>SUM(E6:E38)</f>
        <v>314764722.53</v>
      </c>
      <c r="F50" s="141">
        <f>SUM(F40:F49)</f>
        <v>314764722.53000003</v>
      </c>
      <c r="H50" s="47">
        <f>+F50-E50</f>
        <v>0</v>
      </c>
    </row>
    <row r="51" spans="1:10" s="14" customFormat="1" ht="20.25" customHeight="1" thickTop="1">
      <c r="A51" s="151"/>
      <c r="B51" s="151"/>
      <c r="C51" s="151"/>
      <c r="D51" s="151"/>
      <c r="E51" s="152" t="s">
        <v>154</v>
      </c>
      <c r="F51" s="151" t="s">
        <v>154</v>
      </c>
      <c r="G51" s="49"/>
      <c r="H51" s="49"/>
      <c r="J51" s="30"/>
    </row>
    <row r="52" spans="1:8" ht="22.5" customHeight="1">
      <c r="A52" s="160"/>
      <c r="B52" s="160"/>
      <c r="C52" s="160"/>
      <c r="D52" s="153"/>
      <c r="E52" s="153"/>
      <c r="F52" s="153"/>
      <c r="G52" s="42"/>
      <c r="H52" s="42"/>
    </row>
    <row r="53" spans="1:8" ht="22.5" customHeight="1">
      <c r="A53" s="154"/>
      <c r="B53" s="154"/>
      <c r="C53" s="154"/>
      <c r="D53" s="155"/>
      <c r="E53" s="156"/>
      <c r="F53" s="156"/>
      <c r="G53" s="42"/>
      <c r="H53" s="42"/>
    </row>
    <row r="54" spans="1:8" ht="22.5" customHeight="1">
      <c r="A54" s="154"/>
      <c r="B54" s="157"/>
      <c r="C54" s="154"/>
      <c r="D54" s="44"/>
      <c r="E54" s="156"/>
      <c r="F54" s="156"/>
      <c r="G54" s="42"/>
      <c r="H54" s="42"/>
    </row>
    <row r="55" spans="1:8" ht="22.5" customHeight="1">
      <c r="A55" s="154"/>
      <c r="B55" s="157"/>
      <c r="C55" s="154"/>
      <c r="D55" s="44"/>
      <c r="E55" s="156"/>
      <c r="F55" s="156"/>
      <c r="G55" s="42"/>
      <c r="H55" s="42"/>
    </row>
    <row r="56" spans="1:8" ht="22.5" customHeight="1">
      <c r="A56" s="154"/>
      <c r="B56" s="157"/>
      <c r="C56" s="154"/>
      <c r="D56" s="44"/>
      <c r="E56" s="156"/>
      <c r="F56" s="156"/>
      <c r="G56" s="42"/>
      <c r="H56" s="42"/>
    </row>
    <row r="57" spans="1:8" ht="22.5" customHeight="1">
      <c r="A57" s="154"/>
      <c r="B57" s="157"/>
      <c r="C57" s="154"/>
      <c r="D57" s="44"/>
      <c r="E57" s="156"/>
      <c r="F57" s="156"/>
      <c r="G57" s="42"/>
      <c r="H57" s="42"/>
    </row>
    <row r="58" spans="1:8" ht="22.5" customHeight="1">
      <c r="A58" s="154"/>
      <c r="B58" s="157"/>
      <c r="C58" s="154"/>
      <c r="D58" s="44"/>
      <c r="E58" s="156"/>
      <c r="F58" s="156"/>
      <c r="G58" s="42"/>
      <c r="H58" s="42"/>
    </row>
    <row r="59" spans="1:8" ht="22.5" customHeight="1">
      <c r="A59" s="154"/>
      <c r="B59" s="157"/>
      <c r="C59" s="154"/>
      <c r="D59" s="44"/>
      <c r="E59" s="156"/>
      <c r="F59" s="156"/>
      <c r="G59" s="42"/>
      <c r="H59" s="42"/>
    </row>
    <row r="60" spans="1:8" ht="22.5" customHeight="1">
      <c r="A60" s="154"/>
      <c r="B60" s="157"/>
      <c r="C60" s="154"/>
      <c r="D60" s="44"/>
      <c r="E60" s="156"/>
      <c r="F60" s="156"/>
      <c r="G60" s="42"/>
      <c r="H60" s="42"/>
    </row>
    <row r="61" spans="1:8" ht="22.5" customHeight="1">
      <c r="A61" s="154"/>
      <c r="B61" s="157"/>
      <c r="C61" s="154"/>
      <c r="D61" s="44"/>
      <c r="E61" s="156"/>
      <c r="F61" s="156"/>
      <c r="G61" s="42"/>
      <c r="H61" s="42"/>
    </row>
    <row r="62" spans="1:8" ht="22.5" customHeight="1">
      <c r="A62" s="154"/>
      <c r="B62" s="157"/>
      <c r="C62" s="154"/>
      <c r="D62" s="44"/>
      <c r="E62" s="156"/>
      <c r="F62" s="156"/>
      <c r="G62" s="42"/>
      <c r="H62" s="42"/>
    </row>
    <row r="63" spans="1:8" ht="22.5" customHeight="1">
      <c r="A63" s="154"/>
      <c r="B63" s="157"/>
      <c r="C63" s="154"/>
      <c r="D63" s="44"/>
      <c r="E63" s="156"/>
      <c r="F63" s="156"/>
      <c r="G63" s="42"/>
      <c r="H63" s="42"/>
    </row>
    <row r="64" spans="1:8" ht="22.5" customHeight="1">
      <c r="A64" s="154"/>
      <c r="B64" s="157"/>
      <c r="C64" s="154"/>
      <c r="D64" s="44"/>
      <c r="E64" s="156"/>
      <c r="F64" s="156"/>
      <c r="G64" s="42"/>
      <c r="H64" s="158"/>
    </row>
    <row r="65" spans="1:9" ht="22.5" customHeight="1">
      <c r="A65" s="42"/>
      <c r="B65" s="42"/>
      <c r="C65" s="43"/>
      <c r="D65" s="44"/>
      <c r="E65" s="45"/>
      <c r="F65" s="45"/>
      <c r="G65" s="42"/>
      <c r="H65" s="158"/>
      <c r="I65" s="47">
        <f>E65-F65</f>
        <v>0</v>
      </c>
    </row>
    <row r="66" spans="1:8" ht="22.5" customHeight="1">
      <c r="A66" s="42"/>
      <c r="B66" s="42"/>
      <c r="C66" s="43"/>
      <c r="D66" s="44"/>
      <c r="E66" s="45"/>
      <c r="F66" s="45"/>
      <c r="G66" s="42"/>
      <c r="H66" s="42"/>
    </row>
    <row r="67" spans="1:8" ht="22.5" customHeight="1">
      <c r="A67" s="42"/>
      <c r="B67" s="42"/>
      <c r="C67" s="43"/>
      <c r="D67" s="44"/>
      <c r="E67" s="45"/>
      <c r="F67" s="45"/>
      <c r="G67" s="42"/>
      <c r="H67" s="42"/>
    </row>
    <row r="68" spans="1:8" ht="22.5" customHeight="1">
      <c r="A68" s="42"/>
      <c r="B68" s="42"/>
      <c r="C68" s="43"/>
      <c r="D68" s="44"/>
      <c r="E68" s="45"/>
      <c r="F68" s="45"/>
      <c r="G68" s="42"/>
      <c r="H68" s="42"/>
    </row>
    <row r="69" spans="1:8" ht="22.5" customHeight="1">
      <c r="A69" s="42"/>
      <c r="B69" s="42"/>
      <c r="C69" s="43"/>
      <c r="D69" s="44"/>
      <c r="E69" s="45"/>
      <c r="F69" s="45"/>
      <c r="G69" s="42"/>
      <c r="H69" s="42"/>
    </row>
    <row r="70" spans="1:8" ht="22.5" customHeight="1">
      <c r="A70" s="42"/>
      <c r="B70" s="42"/>
      <c r="C70" s="43"/>
      <c r="D70" s="44"/>
      <c r="E70" s="45"/>
      <c r="F70" s="45"/>
      <c r="G70" s="42"/>
      <c r="H70" s="42"/>
    </row>
    <row r="71" spans="1:8" ht="22.5" customHeight="1">
      <c r="A71" s="42"/>
      <c r="B71" s="42"/>
      <c r="C71" s="43"/>
      <c r="D71" s="44"/>
      <c r="E71" s="45"/>
      <c r="F71" s="45"/>
      <c r="G71" s="42"/>
      <c r="H71" s="42"/>
    </row>
    <row r="72" spans="1:8" ht="22.5" customHeight="1">
      <c r="A72" s="42"/>
      <c r="B72" s="42"/>
      <c r="C72" s="43"/>
      <c r="D72" s="44"/>
      <c r="E72" s="45"/>
      <c r="F72" s="45"/>
      <c r="G72" s="42"/>
      <c r="H72" s="42"/>
    </row>
    <row r="73" spans="1:8" ht="22.5" customHeight="1">
      <c r="A73" s="42"/>
      <c r="B73" s="42"/>
      <c r="C73" s="43"/>
      <c r="D73" s="44"/>
      <c r="E73" s="45"/>
      <c r="F73" s="45"/>
      <c r="G73" s="42"/>
      <c r="H73" s="42"/>
    </row>
    <row r="74" spans="1:8" ht="22.5" customHeight="1">
      <c r="A74" s="42"/>
      <c r="B74" s="42"/>
      <c r="C74" s="43"/>
      <c r="D74" s="44"/>
      <c r="E74" s="45"/>
      <c r="F74" s="45"/>
      <c r="G74" s="42"/>
      <c r="H74" s="42"/>
    </row>
    <row r="75" spans="1:8" ht="22.5" customHeight="1">
      <c r="A75" s="42"/>
      <c r="B75" s="42"/>
      <c r="C75" s="43"/>
      <c r="D75" s="44"/>
      <c r="E75" s="45"/>
      <c r="F75" s="45"/>
      <c r="G75" s="42"/>
      <c r="H75" s="42"/>
    </row>
    <row r="76" spans="1:8" ht="22.5" customHeight="1">
      <c r="A76" s="42"/>
      <c r="B76" s="42"/>
      <c r="C76" s="43"/>
      <c r="D76" s="44"/>
      <c r="E76" s="45"/>
      <c r="F76" s="45"/>
      <c r="G76" s="42"/>
      <c r="H76" s="42"/>
    </row>
    <row r="77" spans="1:8" ht="22.5" customHeight="1">
      <c r="A77" s="42"/>
      <c r="B77" s="42"/>
      <c r="C77" s="43"/>
      <c r="D77" s="44"/>
      <c r="E77" s="45"/>
      <c r="F77" s="45"/>
      <c r="G77" s="42"/>
      <c r="H77" s="42"/>
    </row>
    <row r="78" spans="1:8" ht="22.5" customHeight="1">
      <c r="A78" s="42"/>
      <c r="B78" s="42"/>
      <c r="C78" s="43"/>
      <c r="D78" s="44"/>
      <c r="E78" s="45"/>
      <c r="F78" s="45"/>
      <c r="G78" s="42"/>
      <c r="H78" s="42"/>
    </row>
    <row r="79" spans="1:8" ht="23.25" customHeight="1">
      <c r="A79" s="42"/>
      <c r="B79" s="42"/>
      <c r="C79" s="43"/>
      <c r="D79" s="44"/>
      <c r="E79" s="45"/>
      <c r="F79" s="45"/>
      <c r="G79" s="42"/>
      <c r="H79" s="42"/>
    </row>
    <row r="80" spans="1:8" ht="23.25" customHeight="1">
      <c r="A80" s="42"/>
      <c r="B80" s="42"/>
      <c r="C80" s="43"/>
      <c r="D80" s="44"/>
      <c r="E80" s="45"/>
      <c r="F80" s="45"/>
      <c r="G80" s="42"/>
      <c r="H80" s="42"/>
    </row>
    <row r="81" spans="1:8" ht="23.25" customHeight="1">
      <c r="A81" s="42"/>
      <c r="B81" s="42"/>
      <c r="C81" s="43"/>
      <c r="D81" s="44"/>
      <c r="E81" s="45"/>
      <c r="F81" s="45"/>
      <c r="G81" s="42"/>
      <c r="H81" s="42"/>
    </row>
    <row r="82" spans="1:8" ht="23.25" customHeight="1">
      <c r="A82" s="42"/>
      <c r="B82" s="42"/>
      <c r="C82" s="43"/>
      <c r="D82" s="44"/>
      <c r="E82" s="45"/>
      <c r="F82" s="45"/>
      <c r="G82" s="42"/>
      <c r="H82" s="42"/>
    </row>
    <row r="83" spans="1:8" ht="23.25" customHeight="1">
      <c r="A83" s="42"/>
      <c r="B83" s="42"/>
      <c r="C83" s="43"/>
      <c r="D83" s="44"/>
      <c r="E83" s="45"/>
      <c r="F83" s="45"/>
      <c r="G83" s="42"/>
      <c r="H83" s="42"/>
    </row>
    <row r="84" spans="1:8" ht="23.25" customHeight="1">
      <c r="A84" s="42"/>
      <c r="B84" s="42"/>
      <c r="C84" s="43"/>
      <c r="D84" s="44"/>
      <c r="E84" s="45"/>
      <c r="F84" s="45"/>
      <c r="G84" s="42"/>
      <c r="H84" s="42"/>
    </row>
    <row r="85" spans="1:6" ht="23.25" customHeight="1">
      <c r="A85" s="42"/>
      <c r="B85" s="42"/>
      <c r="C85" s="43"/>
      <c r="D85" s="44"/>
      <c r="E85" s="45"/>
      <c r="F85" s="45"/>
    </row>
    <row r="86" spans="1:6" ht="23.25" customHeight="1">
      <c r="A86" s="42"/>
      <c r="B86" s="42"/>
      <c r="C86" s="43"/>
      <c r="D86" s="44"/>
      <c r="E86" s="45"/>
      <c r="F86" s="45"/>
    </row>
    <row r="87" spans="1:6" ht="21.75" customHeight="1">
      <c r="A87" s="42"/>
      <c r="B87" s="42"/>
      <c r="C87" s="43"/>
      <c r="D87" s="44"/>
      <c r="E87" s="45"/>
      <c r="F87" s="45"/>
    </row>
    <row r="88" spans="1:6" ht="21.75" customHeight="1">
      <c r="A88" s="42"/>
      <c r="B88" s="42"/>
      <c r="C88" s="43"/>
      <c r="D88" s="44"/>
      <c r="E88" s="45"/>
      <c r="F88" s="45"/>
    </row>
  </sheetData>
  <sheetProtection/>
  <mergeCells count="5">
    <mergeCell ref="A52:C52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89" r:id="rId1"/>
  <rowBreaks count="2" manualBreakCount="2">
    <brk id="50" max="10" man="1"/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4" zoomScaleSheetLayoutView="124" zoomScalePageLayoutView="0" workbookViewId="0" topLeftCell="A1">
      <selection activeCell="G16" sqref="G16"/>
    </sheetView>
  </sheetViews>
  <sheetFormatPr defaultColWidth="9.140625" defaultRowHeight="21.75"/>
  <cols>
    <col min="1" max="1" width="46.00390625" style="2" customWidth="1"/>
    <col min="2" max="2" width="15.8515625" style="2" customWidth="1"/>
    <col min="3" max="3" width="14.7109375" style="2" customWidth="1"/>
    <col min="4" max="4" width="14.8515625" style="2" customWidth="1"/>
    <col min="5" max="5" width="14.8515625" style="58" customWidth="1"/>
    <col min="6" max="6" width="10.00390625" style="2" bestFit="1" customWidth="1"/>
    <col min="7" max="7" width="12.421875" style="2" bestFit="1" customWidth="1"/>
    <col min="8" max="8" width="12.00390625" style="2" customWidth="1"/>
    <col min="9" max="9" width="10.140625" style="2" customWidth="1"/>
    <col min="10" max="16384" width="9.140625" style="2" customWidth="1"/>
  </cols>
  <sheetData>
    <row r="1" spans="1:5" ht="23.25">
      <c r="A1" s="166" t="s">
        <v>147</v>
      </c>
      <c r="B1" s="166"/>
      <c r="C1" s="166"/>
      <c r="D1" s="166"/>
      <c r="E1" s="166"/>
    </row>
    <row r="2" spans="1:7" ht="23.25">
      <c r="A2" s="166" t="s">
        <v>44</v>
      </c>
      <c r="B2" s="166"/>
      <c r="C2" s="166"/>
      <c r="D2" s="166"/>
      <c r="E2" s="166"/>
      <c r="G2" s="2" t="s">
        <v>154</v>
      </c>
    </row>
    <row r="3" spans="1:5" ht="23.25">
      <c r="A3" s="166" t="s">
        <v>278</v>
      </c>
      <c r="B3" s="166"/>
      <c r="C3" s="166"/>
      <c r="D3" s="166"/>
      <c r="E3" s="166"/>
    </row>
    <row r="4" spans="1:5" ht="23.25">
      <c r="A4" s="4"/>
      <c r="B4" s="4"/>
      <c r="C4" s="4"/>
      <c r="D4" s="4"/>
      <c r="E4" s="4"/>
    </row>
    <row r="5" spans="1:6" ht="23.25">
      <c r="A5" s="105" t="s">
        <v>11</v>
      </c>
      <c r="B5" s="11" t="s">
        <v>58</v>
      </c>
      <c r="C5" s="6" t="s">
        <v>45</v>
      </c>
      <c r="D5" s="6" t="s">
        <v>46</v>
      </c>
      <c r="E5" s="6" t="s">
        <v>47</v>
      </c>
      <c r="F5" s="3"/>
    </row>
    <row r="6" spans="1:7" ht="23.25">
      <c r="A6" s="122" t="s">
        <v>48</v>
      </c>
      <c r="B6" s="123">
        <v>177432.51</v>
      </c>
      <c r="C6" s="123">
        <v>55285.63</v>
      </c>
      <c r="D6" s="123">
        <v>177432.51</v>
      </c>
      <c r="E6" s="123">
        <f aca="true" t="shared" si="0" ref="E6:E31">+B6+C6-D6</f>
        <v>55285.630000000005</v>
      </c>
      <c r="G6" s="2" t="s">
        <v>170</v>
      </c>
    </row>
    <row r="7" spans="1:5" ht="23.25">
      <c r="A7" s="122" t="s">
        <v>50</v>
      </c>
      <c r="B7" s="123">
        <v>49575</v>
      </c>
      <c r="C7" s="123">
        <v>357.45</v>
      </c>
      <c r="D7" s="123">
        <v>0</v>
      </c>
      <c r="E7" s="123">
        <f t="shared" si="0"/>
        <v>49932.45</v>
      </c>
    </row>
    <row r="8" spans="1:5" ht="23.25">
      <c r="A8" s="122" t="s">
        <v>74</v>
      </c>
      <c r="B8" s="123">
        <v>0</v>
      </c>
      <c r="C8" s="123">
        <v>0</v>
      </c>
      <c r="D8" s="123">
        <v>0</v>
      </c>
      <c r="E8" s="123">
        <f t="shared" si="0"/>
        <v>0</v>
      </c>
    </row>
    <row r="9" spans="1:6" ht="23.25">
      <c r="A9" s="122" t="s">
        <v>49</v>
      </c>
      <c r="B9" s="123">
        <v>1961682</v>
      </c>
      <c r="C9" s="124">
        <v>21041</v>
      </c>
      <c r="D9" s="123">
        <v>46152</v>
      </c>
      <c r="E9" s="123">
        <f t="shared" si="0"/>
        <v>1936571</v>
      </c>
      <c r="F9" s="58">
        <v>15165</v>
      </c>
    </row>
    <row r="10" spans="1:6" ht="23.25">
      <c r="A10" s="122" t="s">
        <v>75</v>
      </c>
      <c r="B10" s="123">
        <f>+'[1]หมายเหตุ'!$E$10</f>
        <v>10350</v>
      </c>
      <c r="C10" s="123">
        <v>0</v>
      </c>
      <c r="D10" s="123">
        <v>0</v>
      </c>
      <c r="E10" s="123">
        <f t="shared" si="0"/>
        <v>10350</v>
      </c>
      <c r="F10" s="58"/>
    </row>
    <row r="11" spans="1:6" ht="23.25">
      <c r="A11" s="122" t="s">
        <v>128</v>
      </c>
      <c r="B11" s="123">
        <v>360000</v>
      </c>
      <c r="C11" s="123">
        <v>0</v>
      </c>
      <c r="D11" s="123">
        <v>100000</v>
      </c>
      <c r="E11" s="123">
        <f t="shared" si="0"/>
        <v>260000</v>
      </c>
      <c r="F11" s="58"/>
    </row>
    <row r="12" spans="1:6" ht="23.25">
      <c r="A12" s="122" t="s">
        <v>9</v>
      </c>
      <c r="B12" s="123">
        <v>32117</v>
      </c>
      <c r="C12" s="123">
        <v>80</v>
      </c>
      <c r="D12" s="123">
        <v>434</v>
      </c>
      <c r="E12" s="123">
        <f t="shared" si="0"/>
        <v>31763</v>
      </c>
      <c r="F12" s="58"/>
    </row>
    <row r="13" spans="1:6" ht="23.25">
      <c r="A13" s="122" t="s">
        <v>51</v>
      </c>
      <c r="B13" s="123">
        <v>260523.77</v>
      </c>
      <c r="C13" s="123">
        <v>25200</v>
      </c>
      <c r="D13" s="123">
        <v>0</v>
      </c>
      <c r="E13" s="123">
        <f t="shared" si="0"/>
        <v>285723.77</v>
      </c>
      <c r="F13" s="58">
        <v>2000</v>
      </c>
    </row>
    <row r="14" spans="1:5" ht="23.25">
      <c r="A14" s="122" t="s">
        <v>95</v>
      </c>
      <c r="B14" s="123">
        <v>0</v>
      </c>
      <c r="C14" s="123">
        <v>0</v>
      </c>
      <c r="D14" s="123">
        <v>0</v>
      </c>
      <c r="E14" s="123">
        <f t="shared" si="0"/>
        <v>0</v>
      </c>
    </row>
    <row r="15" spans="1:10" ht="23.25">
      <c r="A15" s="122" t="s">
        <v>121</v>
      </c>
      <c r="B15" s="123">
        <v>0</v>
      </c>
      <c r="C15" s="123">
        <v>7000</v>
      </c>
      <c r="D15" s="123">
        <v>7000</v>
      </c>
      <c r="E15" s="123">
        <f t="shared" si="0"/>
        <v>0</v>
      </c>
      <c r="J15" s="2" t="s">
        <v>154</v>
      </c>
    </row>
    <row r="16" spans="1:5" ht="23.25">
      <c r="A16" s="122" t="s">
        <v>114</v>
      </c>
      <c r="B16" s="123">
        <v>0</v>
      </c>
      <c r="C16" s="123"/>
      <c r="D16" s="123"/>
      <c r="E16" s="123">
        <f t="shared" si="0"/>
        <v>0</v>
      </c>
    </row>
    <row r="17" spans="1:5" ht="23.25">
      <c r="A17" s="122" t="s">
        <v>122</v>
      </c>
      <c r="B17" s="123">
        <v>518136.71</v>
      </c>
      <c r="C17" s="123">
        <v>0</v>
      </c>
      <c r="D17" s="123">
        <v>21625</v>
      </c>
      <c r="E17" s="123">
        <f>+B17+C17-D17</f>
        <v>496511.71</v>
      </c>
    </row>
    <row r="18" spans="1:7" ht="23.25">
      <c r="A18" s="122" t="s">
        <v>115</v>
      </c>
      <c r="B18" s="123">
        <v>165496</v>
      </c>
      <c r="C18" s="123">
        <v>166912</v>
      </c>
      <c r="D18" s="123">
        <v>165496</v>
      </c>
      <c r="E18" s="123">
        <f t="shared" si="0"/>
        <v>166912</v>
      </c>
      <c r="G18" s="2">
        <v>4</v>
      </c>
    </row>
    <row r="19" spans="1:5" ht="23.25">
      <c r="A19" s="122" t="s">
        <v>260</v>
      </c>
      <c r="B19" s="123">
        <v>0</v>
      </c>
      <c r="C19" s="123">
        <v>21159.8</v>
      </c>
      <c r="D19" s="123">
        <v>21159.8</v>
      </c>
      <c r="E19" s="123">
        <f t="shared" si="0"/>
        <v>0</v>
      </c>
    </row>
    <row r="20" spans="1:5" ht="23.25">
      <c r="A20" s="122" t="s">
        <v>57</v>
      </c>
      <c r="B20" s="123">
        <v>0</v>
      </c>
      <c r="C20" s="123">
        <v>75900</v>
      </c>
      <c r="D20" s="123">
        <v>75900</v>
      </c>
      <c r="E20" s="123">
        <f t="shared" si="0"/>
        <v>0</v>
      </c>
    </row>
    <row r="21" spans="1:5" ht="23.25">
      <c r="A21" s="122" t="s">
        <v>55</v>
      </c>
      <c r="B21" s="123">
        <v>0</v>
      </c>
      <c r="C21" s="123">
        <v>262400</v>
      </c>
      <c r="D21" s="123">
        <v>262400</v>
      </c>
      <c r="E21" s="123">
        <f t="shared" si="0"/>
        <v>0</v>
      </c>
    </row>
    <row r="22" spans="1:10" ht="23.25">
      <c r="A22" s="122" t="s">
        <v>56</v>
      </c>
      <c r="B22" s="123">
        <v>0</v>
      </c>
      <c r="C22" s="123">
        <v>254961.96</v>
      </c>
      <c r="D22" s="123">
        <v>254961.96</v>
      </c>
      <c r="E22" s="123">
        <f t="shared" si="0"/>
        <v>0</v>
      </c>
      <c r="J22" s="2" t="s">
        <v>154</v>
      </c>
    </row>
    <row r="23" spans="1:5" ht="23.25">
      <c r="A23" s="125" t="s">
        <v>203</v>
      </c>
      <c r="B23" s="123">
        <v>0</v>
      </c>
      <c r="C23" s="123">
        <v>0</v>
      </c>
      <c r="D23" s="123">
        <v>0</v>
      </c>
      <c r="E23" s="123">
        <f t="shared" si="0"/>
        <v>0</v>
      </c>
    </row>
    <row r="24" spans="1:5" ht="23.25">
      <c r="A24" s="125" t="s">
        <v>204</v>
      </c>
      <c r="B24" s="123">
        <v>0</v>
      </c>
      <c r="C24" s="123">
        <v>0</v>
      </c>
      <c r="D24" s="123"/>
      <c r="E24" s="123">
        <f t="shared" si="0"/>
        <v>0</v>
      </c>
    </row>
    <row r="25" spans="1:5" ht="23.25">
      <c r="A25" s="125" t="s">
        <v>205</v>
      </c>
      <c r="B25" s="123">
        <v>0</v>
      </c>
      <c r="C25" s="123"/>
      <c r="D25" s="123"/>
      <c r="E25" s="123">
        <f t="shared" si="0"/>
        <v>0</v>
      </c>
    </row>
    <row r="26" spans="1:5" ht="23.25">
      <c r="A26" s="125" t="s">
        <v>206</v>
      </c>
      <c r="B26" s="123">
        <v>0</v>
      </c>
      <c r="C26" s="123">
        <v>0</v>
      </c>
      <c r="D26" s="123">
        <v>0</v>
      </c>
      <c r="E26" s="123">
        <f t="shared" si="0"/>
        <v>0</v>
      </c>
    </row>
    <row r="27" spans="1:5" ht="23.25">
      <c r="A27" s="125" t="s">
        <v>207</v>
      </c>
      <c r="B27" s="123">
        <v>0</v>
      </c>
      <c r="C27" s="123">
        <v>0</v>
      </c>
      <c r="D27" s="123">
        <v>0</v>
      </c>
      <c r="E27" s="123">
        <f t="shared" si="0"/>
        <v>0</v>
      </c>
    </row>
    <row r="28" spans="1:5" ht="23.25">
      <c r="A28" s="125" t="s">
        <v>208</v>
      </c>
      <c r="B28" s="123">
        <v>0</v>
      </c>
      <c r="C28" s="123">
        <v>0</v>
      </c>
      <c r="D28" s="123">
        <v>0</v>
      </c>
      <c r="E28" s="123">
        <f t="shared" si="0"/>
        <v>0</v>
      </c>
    </row>
    <row r="29" spans="1:5" ht="23.25">
      <c r="A29" s="125" t="s">
        <v>209</v>
      </c>
      <c r="B29" s="123">
        <v>65</v>
      </c>
      <c r="C29" s="123"/>
      <c r="D29" s="123">
        <v>0</v>
      </c>
      <c r="E29" s="123">
        <f t="shared" si="0"/>
        <v>65</v>
      </c>
    </row>
    <row r="30" spans="1:5" ht="23.25">
      <c r="A30" s="125" t="s">
        <v>210</v>
      </c>
      <c r="B30" s="123">
        <v>33500</v>
      </c>
      <c r="C30" s="123">
        <v>0</v>
      </c>
      <c r="D30" s="123">
        <v>0</v>
      </c>
      <c r="E30" s="123">
        <f t="shared" si="0"/>
        <v>33500</v>
      </c>
    </row>
    <row r="31" spans="1:6" ht="23.25">
      <c r="A31" s="125" t="s">
        <v>211</v>
      </c>
      <c r="B31" s="123">
        <v>2780</v>
      </c>
      <c r="C31" s="123">
        <v>0</v>
      </c>
      <c r="D31" s="123">
        <v>0</v>
      </c>
      <c r="E31" s="123">
        <f t="shared" si="0"/>
        <v>2780</v>
      </c>
      <c r="F31" s="146">
        <f>+E31+E30+E29</f>
        <v>36345</v>
      </c>
    </row>
    <row r="32" spans="1:8" ht="24" thickBot="1">
      <c r="A32" s="106"/>
      <c r="B32" s="13">
        <f>SUM(B6:B31)</f>
        <v>3571657.9899999998</v>
      </c>
      <c r="C32" s="13">
        <f>SUM(C6:C31)</f>
        <v>890297.8399999999</v>
      </c>
      <c r="D32" s="13">
        <f>SUM(D6:D31)</f>
        <v>1132561.27</v>
      </c>
      <c r="E32" s="13">
        <f>SUM(E6:E31)</f>
        <v>3329394.56</v>
      </c>
      <c r="G32" s="58">
        <v>4919012.81</v>
      </c>
      <c r="H32" s="146">
        <f>+G32-E32</f>
        <v>1589618.2499999995</v>
      </c>
    </row>
    <row r="33" spans="1:5" ht="24" customHeight="1" thickTop="1">
      <c r="A33" s="5" t="s">
        <v>52</v>
      </c>
      <c r="B33" s="5"/>
      <c r="C33" s="7"/>
      <c r="D33" s="7"/>
      <c r="E33" s="10"/>
    </row>
    <row r="34" spans="1:5" ht="24" customHeight="1">
      <c r="A34" s="46" t="s">
        <v>76</v>
      </c>
      <c r="B34" s="9"/>
      <c r="C34" s="7"/>
      <c r="D34" s="7"/>
      <c r="E34" s="56" t="s">
        <v>53</v>
      </c>
    </row>
    <row r="35" spans="1:5" ht="23.25">
      <c r="A35" s="7" t="s">
        <v>129</v>
      </c>
      <c r="B35" s="9"/>
      <c r="C35" s="7"/>
      <c r="D35" s="7"/>
      <c r="E35" s="59">
        <v>0</v>
      </c>
    </row>
    <row r="36" spans="1:7" ht="23.25">
      <c r="A36" s="7" t="s">
        <v>130</v>
      </c>
      <c r="B36" s="7"/>
      <c r="C36" s="7"/>
      <c r="D36" s="7"/>
      <c r="E36" s="10">
        <v>0</v>
      </c>
      <c r="G36" s="2" t="s">
        <v>154</v>
      </c>
    </row>
    <row r="37" spans="1:5" ht="23.25">
      <c r="A37" s="7" t="s">
        <v>131</v>
      </c>
      <c r="B37" s="7"/>
      <c r="C37" s="7"/>
      <c r="D37" s="7"/>
      <c r="E37" s="10">
        <v>0</v>
      </c>
    </row>
    <row r="38" spans="1:5" ht="24" thickBot="1">
      <c r="A38" s="7"/>
      <c r="B38" s="7"/>
      <c r="C38" s="7"/>
      <c r="D38" s="5" t="s">
        <v>31</v>
      </c>
      <c r="E38" s="57">
        <f>SUM(E35:E37)</f>
        <v>0</v>
      </c>
    </row>
    <row r="39" spans="1:5" ht="24" thickTop="1">
      <c r="A39" s="7"/>
      <c r="B39" s="7"/>
      <c r="C39" s="7"/>
      <c r="D39" s="7"/>
      <c r="E39" s="7"/>
    </row>
    <row r="40" ht="23.25">
      <c r="E40" s="2"/>
    </row>
    <row r="41" ht="23.25">
      <c r="E41" s="2"/>
    </row>
    <row r="42" ht="23.25">
      <c r="E42" s="2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0" r:id="rId1"/>
  <rowBreaks count="1" manualBreakCount="1">
    <brk id="3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G35" sqref="G35"/>
    </sheetView>
  </sheetViews>
  <sheetFormatPr defaultColWidth="9.140625" defaultRowHeight="21.75"/>
  <cols>
    <col min="1" max="1" width="44.00390625" style="2" customWidth="1"/>
    <col min="2" max="2" width="15.421875" style="2" customWidth="1"/>
    <col min="3" max="3" width="15.7109375" style="2" customWidth="1"/>
    <col min="4" max="4" width="16.00390625" style="2" customWidth="1"/>
    <col min="5" max="5" width="15.7109375" style="2" bestFit="1" customWidth="1"/>
    <col min="6" max="6" width="7.00390625" style="2" customWidth="1"/>
    <col min="7" max="7" width="9.140625" style="2" customWidth="1"/>
    <col min="8" max="8" width="12.140625" style="2" customWidth="1"/>
    <col min="9" max="9" width="13.28125" style="2" customWidth="1"/>
    <col min="10" max="16384" width="9.140625" style="2" customWidth="1"/>
  </cols>
  <sheetData>
    <row r="1" spans="1:5" ht="23.25">
      <c r="A1" s="166" t="s">
        <v>147</v>
      </c>
      <c r="B1" s="166"/>
      <c r="C1" s="166"/>
      <c r="D1" s="166"/>
      <c r="E1" s="166"/>
    </row>
    <row r="2" spans="1:5" ht="23.25">
      <c r="A2" s="166" t="s">
        <v>44</v>
      </c>
      <c r="B2" s="166"/>
      <c r="C2" s="166"/>
      <c r="D2" s="166"/>
      <c r="E2" s="166"/>
    </row>
    <row r="3" spans="1:5" ht="23.25">
      <c r="A3" s="166" t="s">
        <v>279</v>
      </c>
      <c r="B3" s="166"/>
      <c r="C3" s="166"/>
      <c r="D3" s="166"/>
      <c r="E3" s="166"/>
    </row>
    <row r="4" spans="1:5" ht="21" customHeight="1">
      <c r="A4" s="4"/>
      <c r="B4" s="4"/>
      <c r="C4" s="4"/>
      <c r="D4" s="4"/>
      <c r="E4" s="4"/>
    </row>
    <row r="5" spans="1:7" ht="23.25">
      <c r="A5" s="105" t="s">
        <v>11</v>
      </c>
      <c r="B5" s="11" t="s">
        <v>58</v>
      </c>
      <c r="C5" s="6" t="s">
        <v>45</v>
      </c>
      <c r="D5" s="6" t="s">
        <v>46</v>
      </c>
      <c r="E5" s="11" t="s">
        <v>47</v>
      </c>
      <c r="F5" s="3"/>
      <c r="G5" s="2" t="s">
        <v>163</v>
      </c>
    </row>
    <row r="6" spans="1:5" ht="23.25">
      <c r="A6" s="122" t="s">
        <v>48</v>
      </c>
      <c r="B6" s="123">
        <v>45725.52</v>
      </c>
      <c r="C6" s="123">
        <f>15364.39+29060.44+29191.96+102947.34+59439.53+77837.12+62111.74+177432.51+55285.63</f>
        <v>608670.66</v>
      </c>
      <c r="D6" s="123">
        <f>45725.52+15364.39+29060.44+29191.96+102947.34+59439.53+77837.12+62111.74+177432.51</f>
        <v>599110.55</v>
      </c>
      <c r="E6" s="123">
        <f>+B6+C6-D6</f>
        <v>55285.630000000005</v>
      </c>
    </row>
    <row r="7" spans="1:5" ht="23.25">
      <c r="A7" s="122" t="s">
        <v>50</v>
      </c>
      <c r="B7" s="123">
        <v>46443.55</v>
      </c>
      <c r="C7" s="123">
        <f>10.4+19.75+638.85+980+678.5+511.9+292.05+357.45</f>
        <v>3488.9</v>
      </c>
      <c r="D7" s="123">
        <v>0</v>
      </c>
      <c r="E7" s="123">
        <f>+B7+C7-D7</f>
        <v>49932.450000000004</v>
      </c>
    </row>
    <row r="8" spans="1:5" ht="23.25">
      <c r="A8" s="122" t="s">
        <v>74</v>
      </c>
      <c r="B8" s="123">
        <v>0</v>
      </c>
      <c r="C8" s="123">
        <f>3016805+1025000+600000</f>
        <v>4641805</v>
      </c>
      <c r="D8" s="123">
        <f>2432190+757850+1056550+395215</f>
        <v>4641805</v>
      </c>
      <c r="E8" s="123">
        <f aca="true" t="shared" si="0" ref="E8:E31">+B8+C8-D8</f>
        <v>0</v>
      </c>
    </row>
    <row r="9" spans="1:5" ht="23.25">
      <c r="A9" s="122" t="s">
        <v>49</v>
      </c>
      <c r="B9" s="123">
        <v>1455784</v>
      </c>
      <c r="C9" s="124">
        <f>54814+11907+73900+156309+207602+333423+36430+33876+21041</f>
        <v>929302</v>
      </c>
      <c r="D9" s="123">
        <f>57407+22011+25805+20690+81260+67408+41500+86282+46152</f>
        <v>448515</v>
      </c>
      <c r="E9" s="123">
        <f t="shared" si="0"/>
        <v>1936571</v>
      </c>
    </row>
    <row r="10" spans="1:5" ht="23.25">
      <c r="A10" s="122" t="s">
        <v>75</v>
      </c>
      <c r="B10" s="123">
        <f>+'[1]หมายเหตุ'!$E$10</f>
        <v>10350</v>
      </c>
      <c r="C10" s="123">
        <v>0</v>
      </c>
      <c r="D10" s="123">
        <v>0</v>
      </c>
      <c r="E10" s="123">
        <f t="shared" si="0"/>
        <v>10350</v>
      </c>
    </row>
    <row r="11" spans="1:5" ht="23.25">
      <c r="A11" s="122" t="s">
        <v>128</v>
      </c>
      <c r="B11" s="123">
        <v>360000</v>
      </c>
      <c r="C11" s="123">
        <f>100000+150000</f>
        <v>250000</v>
      </c>
      <c r="D11" s="123">
        <f>100000+50000+100000+100000</f>
        <v>350000</v>
      </c>
      <c r="E11" s="123">
        <f t="shared" si="0"/>
        <v>260000</v>
      </c>
    </row>
    <row r="12" spans="1:5" ht="23.25">
      <c r="A12" s="122" t="s">
        <v>9</v>
      </c>
      <c r="B12" s="123">
        <v>5938</v>
      </c>
      <c r="C12" s="123">
        <f>68+40755+372+80</f>
        <v>41275</v>
      </c>
      <c r="D12" s="123">
        <f>68+3000+11948+434</f>
        <v>15450</v>
      </c>
      <c r="E12" s="123">
        <f t="shared" si="0"/>
        <v>31763</v>
      </c>
    </row>
    <row r="13" spans="1:5" ht="23.25">
      <c r="A13" s="122" t="s">
        <v>51</v>
      </c>
      <c r="B13" s="123">
        <v>126940.72</v>
      </c>
      <c r="C13" s="123">
        <f>978.05+12700+12700+12700+94505+25200</f>
        <v>158783.05</v>
      </c>
      <c r="D13" s="123">
        <v>0</v>
      </c>
      <c r="E13" s="123">
        <f t="shared" si="0"/>
        <v>285723.77</v>
      </c>
    </row>
    <row r="14" spans="1:5" ht="23.25">
      <c r="A14" s="122" t="s">
        <v>95</v>
      </c>
      <c r="B14" s="123">
        <v>0</v>
      </c>
      <c r="C14" s="123">
        <f>4000+369683+369683</f>
        <v>743366</v>
      </c>
      <c r="D14" s="123">
        <f>4000+369683+369683</f>
        <v>743366</v>
      </c>
      <c r="E14" s="123">
        <f t="shared" si="0"/>
        <v>0</v>
      </c>
    </row>
    <row r="15" spans="1:5" ht="23.25">
      <c r="A15" s="122" t="s">
        <v>121</v>
      </c>
      <c r="B15" s="123">
        <v>0</v>
      </c>
      <c r="C15" s="123">
        <f>7000+7000+7000+7000+7000</f>
        <v>35000</v>
      </c>
      <c r="D15" s="123">
        <f>7000+7000+7000+7000+7000</f>
        <v>35000</v>
      </c>
      <c r="E15" s="123">
        <f t="shared" si="0"/>
        <v>0</v>
      </c>
    </row>
    <row r="16" spans="1:5" ht="23.25">
      <c r="A16" s="122" t="s">
        <v>114</v>
      </c>
      <c r="B16" s="123">
        <f>+'[1]หมายเหตุ'!$E$16</f>
        <v>0</v>
      </c>
      <c r="C16" s="123">
        <f>4210+12705+4320+944+1086+14000+7980</f>
        <v>45245</v>
      </c>
      <c r="D16" s="123">
        <f>4210+12705+2850+2050+1450+14000+7980</f>
        <v>45245</v>
      </c>
      <c r="E16" s="123">
        <f t="shared" si="0"/>
        <v>0</v>
      </c>
    </row>
    <row r="17" spans="1:5" ht="23.25">
      <c r="A17" s="122" t="s">
        <v>122</v>
      </c>
      <c r="B17" s="123">
        <v>409195.69</v>
      </c>
      <c r="C17" s="123">
        <f>1103130+552000+1941.02+10000</f>
        <v>1667071.02</v>
      </c>
      <c r="D17" s="123">
        <f>6110+77459+9100+1010905+404850+49706+21625</f>
        <v>1579755</v>
      </c>
      <c r="E17" s="123">
        <f t="shared" si="0"/>
        <v>496511.70999999996</v>
      </c>
    </row>
    <row r="18" spans="1:5" ht="23.25">
      <c r="A18" s="122" t="s">
        <v>115</v>
      </c>
      <c r="B18" s="123">
        <v>0</v>
      </c>
      <c r="C18" s="123">
        <f>158383+155916+163916+165965+167180+168534+167817+165496+166912</f>
        <v>1480119</v>
      </c>
      <c r="D18" s="123">
        <f>158383+155916+163916+165965+168534+167180+167817+165496</f>
        <v>1313207</v>
      </c>
      <c r="E18" s="123">
        <f t="shared" si="0"/>
        <v>166912</v>
      </c>
    </row>
    <row r="19" spans="1:5" ht="23.25">
      <c r="A19" s="122" t="s">
        <v>260</v>
      </c>
      <c r="B19" s="123">
        <v>0</v>
      </c>
      <c r="C19" s="123">
        <f>18456.18+21071.43+18796.88+13090.31+21159.8</f>
        <v>92574.6</v>
      </c>
      <c r="D19" s="123">
        <f>18456.18+21071.43+18796.88+13090.31+21159.8</f>
        <v>92574.6</v>
      </c>
      <c r="E19" s="123">
        <f t="shared" si="0"/>
        <v>0</v>
      </c>
    </row>
    <row r="20" spans="1:5" ht="23.25">
      <c r="A20" s="122" t="s">
        <v>57</v>
      </c>
      <c r="B20" s="123"/>
      <c r="C20" s="123">
        <f>75400+68000+68500+74700+74700+74700+74700+75900+75900</f>
        <v>662500</v>
      </c>
      <c r="D20" s="123">
        <f>75400+68000+68500+74700+74700+74700+74700+75900+75900</f>
        <v>662500</v>
      </c>
      <c r="E20" s="123">
        <f t="shared" si="0"/>
        <v>0</v>
      </c>
    </row>
    <row r="21" spans="1:8" ht="23.25">
      <c r="A21" s="122" t="s">
        <v>55</v>
      </c>
      <c r="B21" s="123"/>
      <c r="C21" s="123">
        <f>277400+260400+284700+269400+269400+269400+269400+253800+262400</f>
        <v>2416300</v>
      </c>
      <c r="D21" s="123">
        <f>277400+260400+284700+269400+269400+269400+269400+253800+262400</f>
        <v>2416300</v>
      </c>
      <c r="E21" s="123">
        <f t="shared" si="0"/>
        <v>0</v>
      </c>
      <c r="H21" s="2" t="s">
        <v>154</v>
      </c>
    </row>
    <row r="22" spans="1:5" ht="23.25">
      <c r="A22" s="122" t="s">
        <v>56</v>
      </c>
      <c r="B22" s="123">
        <v>0</v>
      </c>
      <c r="C22" s="123">
        <f>254904+250053.09+224408+229308+229308+249625+249625+255025+254961.96</f>
        <v>2197218.05</v>
      </c>
      <c r="D22" s="123">
        <f>254904+250053.09+224408+229308+229308+249625+249625+255025+254961.96</f>
        <v>2197218.05</v>
      </c>
      <c r="E22" s="123">
        <f t="shared" si="0"/>
        <v>0</v>
      </c>
    </row>
    <row r="23" spans="1:5" ht="23.25">
      <c r="A23" s="125" t="s">
        <v>203</v>
      </c>
      <c r="B23" s="127">
        <v>28600</v>
      </c>
      <c r="C23" s="123">
        <v>0</v>
      </c>
      <c r="D23" s="123">
        <v>28600</v>
      </c>
      <c r="E23" s="123">
        <f t="shared" si="0"/>
        <v>0</v>
      </c>
    </row>
    <row r="24" spans="1:5" ht="23.25">
      <c r="A24" s="125" t="s">
        <v>204</v>
      </c>
      <c r="B24" s="127">
        <v>114400</v>
      </c>
      <c r="C24" s="123">
        <f>800+31200</f>
        <v>32000</v>
      </c>
      <c r="D24" s="123">
        <f>113600+1600+31200</f>
        <v>146400</v>
      </c>
      <c r="E24" s="123">
        <f t="shared" si="0"/>
        <v>0</v>
      </c>
    </row>
    <row r="25" spans="1:5" ht="23.25">
      <c r="A25" s="125" t="s">
        <v>205</v>
      </c>
      <c r="B25" s="127">
        <v>68710</v>
      </c>
      <c r="C25" s="123">
        <v>0</v>
      </c>
      <c r="D25" s="123">
        <v>68710</v>
      </c>
      <c r="E25" s="123">
        <f t="shared" si="0"/>
        <v>0</v>
      </c>
    </row>
    <row r="26" spans="1:5" ht="23.25">
      <c r="A26" s="125" t="s">
        <v>206</v>
      </c>
      <c r="B26" s="127">
        <v>103776.46</v>
      </c>
      <c r="C26" s="123">
        <v>0</v>
      </c>
      <c r="D26" s="123">
        <f>27136+28880+28880+17740.46+1140</f>
        <v>103776.45999999999</v>
      </c>
      <c r="E26" s="123">
        <f t="shared" si="0"/>
        <v>0</v>
      </c>
    </row>
    <row r="27" spans="1:5" ht="23.25">
      <c r="A27" s="125" t="s">
        <v>207</v>
      </c>
      <c r="B27" s="127">
        <v>10129.04</v>
      </c>
      <c r="C27" s="123">
        <v>0</v>
      </c>
      <c r="D27" s="123">
        <f>6000+4129.04</f>
        <v>10129.04</v>
      </c>
      <c r="E27" s="123">
        <f t="shared" si="0"/>
        <v>0</v>
      </c>
    </row>
    <row r="28" spans="1:5" ht="23.25">
      <c r="A28" s="125" t="s">
        <v>208</v>
      </c>
      <c r="B28" s="127">
        <v>7051</v>
      </c>
      <c r="C28" s="123">
        <v>0</v>
      </c>
      <c r="D28" s="123">
        <f>1744+1744+1744+1744+75</f>
        <v>7051</v>
      </c>
      <c r="E28" s="123">
        <f t="shared" si="0"/>
        <v>0</v>
      </c>
    </row>
    <row r="29" spans="1:5" ht="23.25">
      <c r="A29" s="125" t="s">
        <v>209</v>
      </c>
      <c r="B29" s="127">
        <v>32640</v>
      </c>
      <c r="C29" s="123">
        <v>0</v>
      </c>
      <c r="D29" s="123">
        <v>32575</v>
      </c>
      <c r="E29" s="123">
        <f t="shared" si="0"/>
        <v>65</v>
      </c>
    </row>
    <row r="30" spans="1:5" ht="23.25">
      <c r="A30" s="125" t="s">
        <v>210</v>
      </c>
      <c r="B30" s="127">
        <v>33500</v>
      </c>
      <c r="C30" s="123">
        <v>0</v>
      </c>
      <c r="D30" s="123">
        <v>0</v>
      </c>
      <c r="E30" s="123">
        <f t="shared" si="0"/>
        <v>33500</v>
      </c>
    </row>
    <row r="31" spans="1:5" ht="23.25">
      <c r="A31" s="125" t="s">
        <v>211</v>
      </c>
      <c r="B31" s="127">
        <v>2780</v>
      </c>
      <c r="C31" s="126">
        <v>0</v>
      </c>
      <c r="D31" s="126">
        <v>0</v>
      </c>
      <c r="E31" s="123">
        <f t="shared" si="0"/>
        <v>2780</v>
      </c>
    </row>
    <row r="32" spans="1:8" ht="21" customHeight="1" thickBot="1">
      <c r="A32" s="7"/>
      <c r="B32" s="128">
        <f>SUM(B6:B31)</f>
        <v>2861963.98</v>
      </c>
      <c r="C32" s="13">
        <f>SUM(C6:C31)</f>
        <v>16004718.280000001</v>
      </c>
      <c r="D32" s="13">
        <f>SUM(D6:D31)</f>
        <v>15537287.7</v>
      </c>
      <c r="E32" s="13">
        <f>SUM(E6:E31)</f>
        <v>3329394.56</v>
      </c>
      <c r="H32" s="146">
        <f>+E32-หมายเหตุ!E32</f>
        <v>0</v>
      </c>
    </row>
    <row r="33" spans="1:5" ht="24" thickTop="1">
      <c r="A33" s="5" t="s">
        <v>52</v>
      </c>
      <c r="B33" s="5"/>
      <c r="C33" s="7"/>
      <c r="D33" s="7"/>
      <c r="E33" s="10"/>
    </row>
    <row r="34" spans="1:5" ht="24" customHeight="1">
      <c r="A34" s="46" t="s">
        <v>76</v>
      </c>
      <c r="B34" s="9"/>
      <c r="C34" s="7"/>
      <c r="D34" s="7"/>
      <c r="E34" s="56" t="s">
        <v>53</v>
      </c>
    </row>
    <row r="35" spans="1:5" ht="24" customHeight="1">
      <c r="A35" s="7" t="s">
        <v>129</v>
      </c>
      <c r="B35" s="9"/>
      <c r="C35" s="7"/>
      <c r="D35" s="7"/>
      <c r="E35" s="59"/>
    </row>
    <row r="36" spans="1:5" ht="23.25">
      <c r="A36" s="7" t="s">
        <v>130</v>
      </c>
      <c r="B36" s="7"/>
      <c r="C36" s="7"/>
      <c r="D36" s="7"/>
      <c r="E36" s="10">
        <v>34000</v>
      </c>
    </row>
    <row r="37" spans="1:5" ht="23.25">
      <c r="A37" s="7" t="s">
        <v>131</v>
      </c>
      <c r="B37" s="7"/>
      <c r="C37" s="7"/>
      <c r="D37" s="7"/>
      <c r="E37" s="10">
        <f>132800+4780000</f>
        <v>4912800</v>
      </c>
    </row>
    <row r="38" spans="1:5" ht="24" thickBot="1">
      <c r="A38" s="7"/>
      <c r="B38" s="7"/>
      <c r="C38" s="7"/>
      <c r="D38" s="5" t="s">
        <v>31</v>
      </c>
      <c r="E38" s="57">
        <f>SUM(E35:E37)</f>
        <v>4946800</v>
      </c>
    </row>
    <row r="39" spans="1:5" ht="21.75" customHeight="1" thickTop="1">
      <c r="A39" s="7"/>
      <c r="B39" s="7"/>
      <c r="C39" s="7"/>
      <c r="D39" s="7"/>
      <c r="E39" s="7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5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="142" zoomScaleSheetLayoutView="142" zoomScalePageLayoutView="0" workbookViewId="0" topLeftCell="B75">
      <selection activeCell="E79" sqref="E79"/>
    </sheetView>
  </sheetViews>
  <sheetFormatPr defaultColWidth="9.140625" defaultRowHeight="21.75"/>
  <cols>
    <col min="1" max="1" width="14.57421875" style="14" customWidth="1"/>
    <col min="2" max="2" width="12.57421875" style="14" customWidth="1"/>
    <col min="3" max="3" width="9.7109375" style="14" customWidth="1"/>
    <col min="4" max="4" width="14.8515625" style="14" customWidth="1"/>
    <col min="5" max="5" width="46.28125" style="14" customWidth="1"/>
    <col min="6" max="6" width="8.421875" style="14" customWidth="1"/>
    <col min="7" max="7" width="14.7109375" style="14" customWidth="1"/>
    <col min="8" max="8" width="6.00390625" style="14" customWidth="1"/>
    <col min="9" max="9" width="14.421875" style="14" customWidth="1"/>
    <col min="10" max="10" width="14.57421875" style="14" bestFit="1" customWidth="1"/>
    <col min="11" max="11" width="12.28125" style="14" customWidth="1"/>
    <col min="12" max="13" width="12.421875" style="14" bestFit="1" customWidth="1"/>
    <col min="14" max="16384" width="9.140625" style="14" customWidth="1"/>
  </cols>
  <sheetData>
    <row r="1" spans="1:7" ht="24">
      <c r="A1" s="166" t="s">
        <v>182</v>
      </c>
      <c r="B1" s="166"/>
      <c r="C1" s="166"/>
      <c r="D1" s="166"/>
      <c r="E1" s="166"/>
      <c r="F1" s="166"/>
      <c r="G1" s="166"/>
    </row>
    <row r="2" spans="1:8" ht="24">
      <c r="A2" s="166" t="s">
        <v>155</v>
      </c>
      <c r="B2" s="166"/>
      <c r="C2" s="166"/>
      <c r="D2" s="166"/>
      <c r="E2" s="166"/>
      <c r="F2" s="166"/>
      <c r="G2" s="166"/>
      <c r="H2" s="166"/>
    </row>
    <row r="3" spans="1:9" ht="24.75" thickBot="1">
      <c r="A3" s="172" t="s">
        <v>276</v>
      </c>
      <c r="B3" s="172"/>
      <c r="C3" s="172"/>
      <c r="D3" s="172"/>
      <c r="E3" s="172"/>
      <c r="F3" s="172"/>
      <c r="G3" s="172"/>
      <c r="H3" s="12"/>
      <c r="I3" s="82" t="s">
        <v>184</v>
      </c>
    </row>
    <row r="4" spans="1:8" ht="23.25" thickBot="1" thickTop="1">
      <c r="A4" s="168" t="s">
        <v>0</v>
      </c>
      <c r="B4" s="169"/>
      <c r="C4" s="169"/>
      <c r="D4" s="169"/>
      <c r="E4" s="62"/>
      <c r="F4" s="66"/>
      <c r="G4" s="85" t="s">
        <v>53</v>
      </c>
      <c r="H4" s="110"/>
    </row>
    <row r="5" spans="1:9" ht="21.75">
      <c r="A5" s="63"/>
      <c r="B5" s="80" t="s">
        <v>156</v>
      </c>
      <c r="C5" s="63"/>
      <c r="D5" s="63" t="s">
        <v>183</v>
      </c>
      <c r="E5" s="64" t="s">
        <v>4</v>
      </c>
      <c r="F5" s="65" t="s">
        <v>5</v>
      </c>
      <c r="G5" s="86" t="s">
        <v>7</v>
      </c>
      <c r="H5" s="111">
        <v>1</v>
      </c>
      <c r="I5" s="14" t="s">
        <v>185</v>
      </c>
    </row>
    <row r="6" spans="1:9" ht="21.75">
      <c r="A6" s="65" t="s">
        <v>1</v>
      </c>
      <c r="B6" s="65" t="s">
        <v>157</v>
      </c>
      <c r="C6" s="65" t="s">
        <v>31</v>
      </c>
      <c r="D6" s="65" t="s">
        <v>3</v>
      </c>
      <c r="E6" s="62"/>
      <c r="F6" s="65" t="s">
        <v>6</v>
      </c>
      <c r="G6" s="86" t="s">
        <v>3</v>
      </c>
      <c r="H6" s="111">
        <v>2</v>
      </c>
      <c r="I6" s="14" t="s">
        <v>187</v>
      </c>
    </row>
    <row r="7" spans="1:9" ht="22.5" thickBot="1">
      <c r="A7" s="67" t="s">
        <v>159</v>
      </c>
      <c r="B7" s="67" t="s">
        <v>158</v>
      </c>
      <c r="C7" s="67" t="s">
        <v>159</v>
      </c>
      <c r="D7" s="67" t="s">
        <v>159</v>
      </c>
      <c r="E7" s="68"/>
      <c r="F7" s="67"/>
      <c r="G7" s="87" t="s">
        <v>2</v>
      </c>
      <c r="H7" s="111">
        <v>3</v>
      </c>
      <c r="I7" s="14" t="s">
        <v>186</v>
      </c>
    </row>
    <row r="8" spans="1:9" ht="22.5" thickTop="1">
      <c r="A8" s="62"/>
      <c r="B8" s="62"/>
      <c r="C8" s="62"/>
      <c r="D8" s="62"/>
      <c r="E8" s="74" t="s">
        <v>8</v>
      </c>
      <c r="F8" s="74"/>
      <c r="G8" s="107">
        <v>76576764.83</v>
      </c>
      <c r="H8" s="83">
        <v>4</v>
      </c>
      <c r="I8" s="14" t="s">
        <v>188</v>
      </c>
    </row>
    <row r="9" spans="1:9" ht="21.75">
      <c r="A9" s="62"/>
      <c r="B9" s="62"/>
      <c r="C9" s="62"/>
      <c r="D9" s="62"/>
      <c r="E9" s="112" t="s">
        <v>212</v>
      </c>
      <c r="F9" s="78"/>
      <c r="G9" s="78"/>
      <c r="H9" s="83">
        <v>5</v>
      </c>
      <c r="I9" s="84" t="s">
        <v>189</v>
      </c>
    </row>
    <row r="10" spans="1:8" ht="21.75">
      <c r="A10" s="91">
        <v>12200000</v>
      </c>
      <c r="B10" s="62"/>
      <c r="C10" s="62"/>
      <c r="D10" s="100">
        <f>71652.6+48905+54549.25+1086360.15+5536457+3225319.5+944320.1+494851.95+418923.55</f>
        <v>11881339.1</v>
      </c>
      <c r="E10" s="78" t="s">
        <v>77</v>
      </c>
      <c r="F10" s="70" t="s">
        <v>219</v>
      </c>
      <c r="G10" s="108">
        <v>418923.55</v>
      </c>
      <c r="H10" s="83"/>
    </row>
    <row r="11" spans="1:8" ht="21.75">
      <c r="A11" s="91">
        <v>4140000</v>
      </c>
      <c r="B11" s="62"/>
      <c r="C11" s="62"/>
      <c r="D11" s="100">
        <f>124174+350286+307352+1569111+424467+391554+254773.75+338429+379281</f>
        <v>4139427.75</v>
      </c>
      <c r="E11" s="78" t="s">
        <v>78</v>
      </c>
      <c r="F11" s="70" t="s">
        <v>220</v>
      </c>
      <c r="G11" s="108">
        <v>379281</v>
      </c>
      <c r="H11" s="83"/>
    </row>
    <row r="12" spans="1:7" ht="21.75">
      <c r="A12" s="91">
        <v>1200000</v>
      </c>
      <c r="B12" s="62"/>
      <c r="C12" s="62"/>
      <c r="D12" s="100">
        <f>17594.18+29010.33+22739.11+148778.75+28602.25+15998.42+9690+28352.82+15893.43</f>
        <v>316659.29</v>
      </c>
      <c r="E12" s="78" t="s">
        <v>79</v>
      </c>
      <c r="F12" s="70" t="s">
        <v>221</v>
      </c>
      <c r="G12" s="108">
        <v>15893.43</v>
      </c>
    </row>
    <row r="13" spans="1:7" ht="21.75">
      <c r="A13" s="91">
        <v>1110000</v>
      </c>
      <c r="B13" s="62"/>
      <c r="C13" s="62"/>
      <c r="D13" s="100">
        <f>42236.05+338450+41325+51120.27+42080.19+27892+23975+26355+50170</f>
        <v>643603.51</v>
      </c>
      <c r="E13" s="78" t="s">
        <v>80</v>
      </c>
      <c r="F13" s="70" t="s">
        <v>222</v>
      </c>
      <c r="G13" s="108">
        <v>50170</v>
      </c>
    </row>
    <row r="14" spans="1:7" ht="21.75">
      <c r="A14" s="91">
        <v>151350000</v>
      </c>
      <c r="B14" s="62"/>
      <c r="C14" s="62"/>
      <c r="D14" s="100">
        <f>15083556.63+10091715.22+12163871.75+13111772.72+11137384.76+10199737.01+8810931.16+16131900.43+15193736.19</f>
        <v>111924605.87</v>
      </c>
      <c r="E14" s="78" t="s">
        <v>81</v>
      </c>
      <c r="F14" s="70" t="s">
        <v>223</v>
      </c>
      <c r="G14" s="108">
        <v>15193736.19</v>
      </c>
    </row>
    <row r="15" spans="1:9" ht="21.75">
      <c r="A15" s="91">
        <v>65000000</v>
      </c>
      <c r="B15" s="62"/>
      <c r="C15" s="62"/>
      <c r="D15" s="100">
        <f>50898482+1002860</f>
        <v>51901342</v>
      </c>
      <c r="E15" s="78" t="s">
        <v>87</v>
      </c>
      <c r="F15" s="70" t="s">
        <v>224</v>
      </c>
      <c r="G15" s="108">
        <v>1002860</v>
      </c>
      <c r="I15" s="102">
        <f>+G15+G14+G13+G12+G11+G10+G16</f>
        <v>17072864.169999998</v>
      </c>
    </row>
    <row r="16" spans="1:9" ht="21.75">
      <c r="A16" s="91"/>
      <c r="B16" s="62"/>
      <c r="C16" s="62"/>
      <c r="D16" s="100">
        <f>185700+12000</f>
        <v>197700</v>
      </c>
      <c r="E16" s="78" t="s">
        <v>275</v>
      </c>
      <c r="F16" s="70" t="s">
        <v>274</v>
      </c>
      <c r="G16" s="108">
        <v>12000</v>
      </c>
      <c r="I16" s="102"/>
    </row>
    <row r="17" spans="1:7" ht="21.75">
      <c r="A17" s="91"/>
      <c r="B17" s="62"/>
      <c r="C17" s="62"/>
      <c r="D17" s="100">
        <f aca="true" t="shared" si="0" ref="D17:D34">+G17</f>
        <v>0</v>
      </c>
      <c r="E17" s="78" t="s">
        <v>37</v>
      </c>
      <c r="F17" s="70" t="s">
        <v>225</v>
      </c>
      <c r="G17" s="108">
        <v>0</v>
      </c>
    </row>
    <row r="18" spans="1:9" ht="21.75">
      <c r="A18" s="91"/>
      <c r="B18" s="62"/>
      <c r="C18" s="62"/>
      <c r="D18" s="100">
        <f t="shared" si="0"/>
        <v>0</v>
      </c>
      <c r="E18" s="78" t="s">
        <v>82</v>
      </c>
      <c r="F18" s="70" t="s">
        <v>226</v>
      </c>
      <c r="G18" s="108">
        <v>0</v>
      </c>
      <c r="I18" s="102">
        <f>+D15+D14+D13+D12+D11+D10+D16</f>
        <v>181004677.51999998</v>
      </c>
    </row>
    <row r="19" spans="1:7" ht="21.75">
      <c r="A19" s="91"/>
      <c r="B19" s="62"/>
      <c r="C19" s="62"/>
      <c r="D19" s="100">
        <f>32700+13700+12857+1000+1000+1000+27000+1000</f>
        <v>90257</v>
      </c>
      <c r="E19" s="78" t="s">
        <v>83</v>
      </c>
      <c r="F19" s="70" t="s">
        <v>227</v>
      </c>
      <c r="G19" s="108">
        <v>1000</v>
      </c>
    </row>
    <row r="20" spans="1:7" ht="21.75">
      <c r="A20" s="91"/>
      <c r="B20" s="62"/>
      <c r="C20" s="62"/>
      <c r="D20" s="100">
        <f>95600+1678594+1583920+39300+1732600+1659380+1634033.12+1304381+929420+525886</f>
        <v>11183114.120000001</v>
      </c>
      <c r="E20" s="78" t="s">
        <v>84</v>
      </c>
      <c r="F20" s="70" t="s">
        <v>228</v>
      </c>
      <c r="G20" s="108">
        <v>525886</v>
      </c>
    </row>
    <row r="21" spans="1:7" ht="21.75">
      <c r="A21" s="91"/>
      <c r="B21" s="62"/>
      <c r="C21" s="62"/>
      <c r="D21" s="100">
        <f t="shared" si="0"/>
        <v>0</v>
      </c>
      <c r="E21" s="78" t="s">
        <v>85</v>
      </c>
      <c r="F21" s="70" t="s">
        <v>229</v>
      </c>
      <c r="G21" s="108">
        <v>0</v>
      </c>
    </row>
    <row r="22" spans="1:7" ht="21.75">
      <c r="A22" s="91"/>
      <c r="B22" s="62"/>
      <c r="C22" s="62"/>
      <c r="D22" s="100">
        <f>23600+6800+22400</f>
        <v>52800</v>
      </c>
      <c r="E22" s="78" t="s">
        <v>136</v>
      </c>
      <c r="F22" s="70" t="s">
        <v>230</v>
      </c>
      <c r="G22" s="108">
        <v>22400</v>
      </c>
    </row>
    <row r="23" spans="1:9" ht="21.75">
      <c r="A23" s="91"/>
      <c r="B23" s="62"/>
      <c r="C23" s="62"/>
      <c r="D23" s="100">
        <f>940485.79+3796141.53+800+857340.71+3163896.24+2569460.71+1776493.05+915033.54+1094768.87+890297.84</f>
        <v>16004718.280000001</v>
      </c>
      <c r="E23" s="78" t="s">
        <v>11</v>
      </c>
      <c r="F23" s="70" t="s">
        <v>261</v>
      </c>
      <c r="G23" s="108">
        <f>+หมายเหตุ!C32</f>
        <v>890297.8399999999</v>
      </c>
      <c r="I23" s="102" t="e">
        <f>+G23+#REF!+#REF!+G22+G21+G20+G19</f>
        <v>#REF!</v>
      </c>
    </row>
    <row r="24" spans="1:7" ht="21.75">
      <c r="A24" s="91"/>
      <c r="B24" s="62"/>
      <c r="C24" s="62"/>
      <c r="D24" s="100">
        <f>68202.38+20850+6500+15200</f>
        <v>110752.38</v>
      </c>
      <c r="E24" s="54" t="s">
        <v>12</v>
      </c>
      <c r="F24" s="70" t="s">
        <v>231</v>
      </c>
      <c r="G24" s="108">
        <v>0</v>
      </c>
    </row>
    <row r="25" spans="1:7" ht="21.75">
      <c r="A25" s="91"/>
      <c r="B25" s="62"/>
      <c r="C25" s="62"/>
      <c r="D25" s="100">
        <f t="shared" si="0"/>
        <v>0</v>
      </c>
      <c r="E25" s="54" t="s">
        <v>117</v>
      </c>
      <c r="F25" s="70" t="s">
        <v>232</v>
      </c>
      <c r="G25" s="108">
        <v>0</v>
      </c>
    </row>
    <row r="26" spans="1:7" ht="21.75">
      <c r="A26" s="91"/>
      <c r="B26" s="62"/>
      <c r="C26" s="62"/>
      <c r="D26" s="100">
        <f t="shared" si="0"/>
        <v>0</v>
      </c>
      <c r="E26" s="54" t="s">
        <v>100</v>
      </c>
      <c r="F26" s="70" t="s">
        <v>233</v>
      </c>
      <c r="G26" s="108">
        <v>0</v>
      </c>
    </row>
    <row r="27" spans="1:10" ht="21.75">
      <c r="A27" s="91"/>
      <c r="B27" s="62"/>
      <c r="C27" s="62"/>
      <c r="D27" s="100">
        <f t="shared" si="0"/>
        <v>0</v>
      </c>
      <c r="E27" s="54" t="s">
        <v>73</v>
      </c>
      <c r="F27" s="70" t="s">
        <v>262</v>
      </c>
      <c r="G27" s="108">
        <v>0</v>
      </c>
      <c r="J27" s="14" t="s">
        <v>154</v>
      </c>
    </row>
    <row r="28" spans="1:7" ht="21.75">
      <c r="A28" s="91"/>
      <c r="B28" s="62"/>
      <c r="C28" s="62"/>
      <c r="D28" s="100">
        <f t="shared" si="0"/>
        <v>0</v>
      </c>
      <c r="E28" s="54" t="s">
        <v>21</v>
      </c>
      <c r="F28" s="70" t="s">
        <v>234</v>
      </c>
      <c r="G28" s="108">
        <v>0</v>
      </c>
    </row>
    <row r="29" spans="1:7" ht="21.75">
      <c r="A29" s="91"/>
      <c r="B29" s="62"/>
      <c r="C29" s="62"/>
      <c r="D29" s="100">
        <f t="shared" si="0"/>
        <v>0</v>
      </c>
      <c r="E29" s="54" t="s">
        <v>139</v>
      </c>
      <c r="F29" s="70" t="s">
        <v>235</v>
      </c>
      <c r="G29" s="108">
        <v>0</v>
      </c>
    </row>
    <row r="30" spans="1:7" ht="21.75">
      <c r="A30" s="91"/>
      <c r="B30" s="62"/>
      <c r="C30" s="62"/>
      <c r="D30" s="100">
        <f>63300+1500+700+700+600+2500+1500</f>
        <v>70800</v>
      </c>
      <c r="E30" s="54" t="s">
        <v>14</v>
      </c>
      <c r="F30" s="71" t="s">
        <v>236</v>
      </c>
      <c r="G30" s="108">
        <v>1500</v>
      </c>
    </row>
    <row r="31" spans="1:7" ht="24">
      <c r="A31" s="91"/>
      <c r="B31" s="62"/>
      <c r="C31" s="62"/>
      <c r="D31" s="100">
        <f>10680+11905</f>
        <v>22585</v>
      </c>
      <c r="E31" s="54" t="s">
        <v>113</v>
      </c>
      <c r="F31" s="70" t="s">
        <v>251</v>
      </c>
      <c r="G31" s="21">
        <v>0</v>
      </c>
    </row>
    <row r="32" spans="1:7" ht="24">
      <c r="A32" s="91"/>
      <c r="B32" s="62"/>
      <c r="C32" s="62"/>
      <c r="D32" s="100">
        <f>41027.61+90636.88+13090.31+21159.8</f>
        <v>165914.59999999998</v>
      </c>
      <c r="E32" s="54" t="s">
        <v>134</v>
      </c>
      <c r="F32" s="70" t="s">
        <v>251</v>
      </c>
      <c r="G32" s="142">
        <v>21159.8</v>
      </c>
    </row>
    <row r="33" spans="1:7" ht="21.75">
      <c r="A33" s="91"/>
      <c r="B33" s="62"/>
      <c r="C33" s="62"/>
      <c r="D33" s="100">
        <f t="shared" si="0"/>
        <v>0</v>
      </c>
      <c r="E33" s="54" t="s">
        <v>15</v>
      </c>
      <c r="F33" s="70" t="s">
        <v>252</v>
      </c>
      <c r="G33" s="108">
        <v>0</v>
      </c>
    </row>
    <row r="34" spans="1:7" ht="21.75">
      <c r="A34" s="91"/>
      <c r="B34" s="62"/>
      <c r="C34" s="62"/>
      <c r="D34" s="100">
        <f t="shared" si="0"/>
        <v>0</v>
      </c>
      <c r="E34" s="54" t="s">
        <v>16</v>
      </c>
      <c r="F34" s="70" t="s">
        <v>239</v>
      </c>
      <c r="G34" s="108">
        <v>0</v>
      </c>
    </row>
    <row r="35" spans="1:7" ht="21.75">
      <c r="A35" s="91"/>
      <c r="B35" s="62"/>
      <c r="C35" s="62"/>
      <c r="D35" s="100">
        <f>20+256+170+3+12.63</f>
        <v>461.63</v>
      </c>
      <c r="E35" s="54" t="s">
        <v>18</v>
      </c>
      <c r="F35" s="72" t="s">
        <v>241</v>
      </c>
      <c r="G35" s="108">
        <v>12.63</v>
      </c>
    </row>
    <row r="36" spans="1:7" ht="21.75">
      <c r="A36" s="62"/>
      <c r="B36" s="62"/>
      <c r="C36" s="62"/>
      <c r="D36" s="62"/>
      <c r="E36" s="54"/>
      <c r="F36" s="70"/>
      <c r="G36" s="109"/>
    </row>
    <row r="37" spans="1:7" ht="21.75">
      <c r="A37" s="62"/>
      <c r="B37" s="62"/>
      <c r="C37" s="62"/>
      <c r="D37" s="62"/>
      <c r="E37" s="54"/>
      <c r="F37" s="70"/>
      <c r="G37" s="109"/>
    </row>
    <row r="38" spans="1:7" ht="22.5" thickBot="1">
      <c r="A38" s="62"/>
      <c r="B38" s="62"/>
      <c r="C38" s="62"/>
      <c r="D38" s="62"/>
      <c r="E38" s="54"/>
      <c r="F38" s="70"/>
      <c r="G38" s="109"/>
    </row>
    <row r="39" spans="1:10" ht="22.5" thickBot="1">
      <c r="A39" s="92">
        <f>SUM(A10:A17)</f>
        <v>235000000</v>
      </c>
      <c r="B39" s="73"/>
      <c r="C39" s="73"/>
      <c r="D39" s="101">
        <f>SUM(D10:D37)</f>
        <v>208706080.53</v>
      </c>
      <c r="E39" s="113" t="s">
        <v>25</v>
      </c>
      <c r="F39" s="114"/>
      <c r="G39" s="92">
        <f>SUM(G10:G38)</f>
        <v>18535120.44</v>
      </c>
      <c r="I39" s="102">
        <f>+กระแสเงินสด!C33</f>
        <v>18535120.44</v>
      </c>
      <c r="J39" s="102">
        <f>+กระแสเงินสด!E33</f>
        <v>208706080.52999997</v>
      </c>
    </row>
    <row r="40" spans="1:10" ht="24.75" customHeight="1" thickBot="1" thickTop="1">
      <c r="A40" s="167" t="s">
        <v>160</v>
      </c>
      <c r="B40" s="167"/>
      <c r="C40" s="167"/>
      <c r="D40" s="167"/>
      <c r="E40" s="167"/>
      <c r="F40" s="167"/>
      <c r="G40" s="167"/>
      <c r="I40" s="102">
        <f>+G39-I39</f>
        <v>0</v>
      </c>
      <c r="J40" s="102">
        <f>+J39-D39</f>
        <v>0</v>
      </c>
    </row>
    <row r="41" spans="1:7" ht="22.5" thickBot="1">
      <c r="A41" s="170" t="s">
        <v>0</v>
      </c>
      <c r="B41" s="171"/>
      <c r="C41" s="171"/>
      <c r="D41" s="171"/>
      <c r="E41" s="69"/>
      <c r="F41" s="69"/>
      <c r="G41" s="144" t="s">
        <v>53</v>
      </c>
    </row>
    <row r="42" spans="1:7" ht="21.75">
      <c r="A42" s="63"/>
      <c r="B42" s="80" t="s">
        <v>156</v>
      </c>
      <c r="C42" s="63"/>
      <c r="D42" s="63"/>
      <c r="E42" s="64" t="s">
        <v>4</v>
      </c>
      <c r="F42" s="65" t="s">
        <v>5</v>
      </c>
      <c r="G42" s="145" t="s">
        <v>7</v>
      </c>
    </row>
    <row r="43" spans="1:7" ht="21.75">
      <c r="A43" s="65" t="s">
        <v>1</v>
      </c>
      <c r="B43" s="65" t="s">
        <v>157</v>
      </c>
      <c r="C43" s="65" t="s">
        <v>31</v>
      </c>
      <c r="D43" s="65" t="s">
        <v>3</v>
      </c>
      <c r="E43" s="62"/>
      <c r="F43" s="65" t="s">
        <v>6</v>
      </c>
      <c r="G43" s="86" t="s">
        <v>3</v>
      </c>
    </row>
    <row r="44" spans="1:7" ht="22.5" thickBot="1">
      <c r="A44" s="81" t="s">
        <v>159</v>
      </c>
      <c r="B44" s="81" t="s">
        <v>158</v>
      </c>
      <c r="C44" s="81" t="s">
        <v>159</v>
      </c>
      <c r="D44" s="81" t="s">
        <v>159</v>
      </c>
      <c r="E44" s="68"/>
      <c r="F44" s="65"/>
      <c r="G44" s="87" t="s">
        <v>2</v>
      </c>
    </row>
    <row r="45" spans="1:7" ht="22.5" thickTop="1">
      <c r="A45" s="61"/>
      <c r="B45" s="61"/>
      <c r="C45" s="61"/>
      <c r="D45" s="61"/>
      <c r="E45" s="115" t="s">
        <v>13</v>
      </c>
      <c r="F45" s="116"/>
      <c r="G45" s="74"/>
    </row>
    <row r="46" spans="1:9" ht="21.75">
      <c r="A46" s="91">
        <v>41549770</v>
      </c>
      <c r="B46" s="62"/>
      <c r="C46" s="62"/>
      <c r="D46" s="118">
        <f>2576248.4+6275650.6+1812864.4+2765714.4+3366013.4+2712274.4+3017456.41+2772075.4+4943259.4</f>
        <v>30241556.809999995</v>
      </c>
      <c r="E46" s="117" t="s">
        <v>14</v>
      </c>
      <c r="F46" s="71" t="s">
        <v>253</v>
      </c>
      <c r="G46" s="118">
        <v>4943259.4</v>
      </c>
      <c r="I46" s="30"/>
    </row>
    <row r="47" spans="1:9" ht="21.75">
      <c r="A47" s="91">
        <v>4426920</v>
      </c>
      <c r="B47" s="62"/>
      <c r="C47" s="62"/>
      <c r="D47" s="118">
        <f>170970+170970+170970+170970+170970+170970+170970+170970+170970</f>
        <v>1538730</v>
      </c>
      <c r="E47" s="117" t="s">
        <v>112</v>
      </c>
      <c r="F47" s="71" t="s">
        <v>254</v>
      </c>
      <c r="G47" s="118">
        <v>170970</v>
      </c>
      <c r="I47" s="30"/>
    </row>
    <row r="48" spans="1:9" ht="21.75">
      <c r="A48" s="91">
        <v>29869100</v>
      </c>
      <c r="B48" s="62"/>
      <c r="C48" s="62"/>
      <c r="D48" s="118">
        <f>2122521.29+2077498.3+2147654.84+2092774.84+2102480+2035827.58+2231537+2209067.35+2341785.16</f>
        <v>19361146.36</v>
      </c>
      <c r="E48" s="117" t="s">
        <v>132</v>
      </c>
      <c r="F48" s="71" t="s">
        <v>250</v>
      </c>
      <c r="G48" s="118">
        <v>2341785.16</v>
      </c>
      <c r="I48" s="30"/>
    </row>
    <row r="49" spans="1:9" ht="21.75">
      <c r="A49" s="91">
        <f>424100+463100+163000+5800</f>
        <v>1056000</v>
      </c>
      <c r="B49" s="62"/>
      <c r="C49" s="62"/>
      <c r="D49" s="118">
        <f>83680+83680+83680+83680+83680+83680+83680+83680+89620</f>
        <v>759060</v>
      </c>
      <c r="E49" s="117" t="s">
        <v>133</v>
      </c>
      <c r="F49" s="71" t="s">
        <v>250</v>
      </c>
      <c r="G49" s="118">
        <v>89620</v>
      </c>
      <c r="I49" s="30"/>
    </row>
    <row r="50" spans="1:9" ht="21.75">
      <c r="A50" s="91">
        <v>39830400</v>
      </c>
      <c r="B50" s="62"/>
      <c r="C50" s="62"/>
      <c r="D50" s="118">
        <f>3183022.02+3133720+3295590.96+3340674.19+3364662.83+3457925+3371751.67+3330326.93+3353345</f>
        <v>29831018.6</v>
      </c>
      <c r="E50" s="117" t="s">
        <v>134</v>
      </c>
      <c r="F50" s="71" t="s">
        <v>237</v>
      </c>
      <c r="G50" s="118">
        <v>3353345</v>
      </c>
      <c r="I50" s="30"/>
    </row>
    <row r="51" spans="1:9" ht="21.75">
      <c r="A51" s="91"/>
      <c r="B51" s="62"/>
      <c r="C51" s="62"/>
      <c r="D51" s="118">
        <v>12900</v>
      </c>
      <c r="E51" s="117" t="s">
        <v>281</v>
      </c>
      <c r="F51" s="72" t="s">
        <v>259</v>
      </c>
      <c r="G51" s="118">
        <v>12900</v>
      </c>
      <c r="I51" s="30"/>
    </row>
    <row r="52" spans="1:9" ht="21.75">
      <c r="A52" s="91">
        <v>6504500</v>
      </c>
      <c r="B52" s="62"/>
      <c r="C52" s="62"/>
      <c r="D52" s="118">
        <f>136440+197743.88+175555+245645+194770+248038.25+114730+268161+257567.95</f>
        <v>1838651.0799999998</v>
      </c>
      <c r="E52" s="117" t="s">
        <v>15</v>
      </c>
      <c r="F52" s="71" t="s">
        <v>238</v>
      </c>
      <c r="G52" s="118">
        <v>257567.95</v>
      </c>
      <c r="I52" s="30"/>
    </row>
    <row r="53" spans="1:9" ht="21.75">
      <c r="A53" s="91">
        <v>34672100</v>
      </c>
      <c r="B53" s="62"/>
      <c r="C53" s="62"/>
      <c r="D53" s="118">
        <f>36466+1096057.42+1722113.44+2298905.68+1607118.85+1367406.37+1886873.66+2458056.77+1487011.11</f>
        <v>13960009.299999999</v>
      </c>
      <c r="E53" s="117" t="s">
        <v>16</v>
      </c>
      <c r="F53" s="72" t="s">
        <v>242</v>
      </c>
      <c r="G53" s="118">
        <v>1487011.11</v>
      </c>
      <c r="I53" s="30"/>
    </row>
    <row r="54" spans="1:9" ht="21.75">
      <c r="A54" s="91">
        <v>11432110</v>
      </c>
      <c r="B54" s="62"/>
      <c r="C54" s="62"/>
      <c r="D54" s="118">
        <f>88511.97+528463.35+493981.82+917370.85+750067.67+940320.81+1410319.43+504322.08+724635</f>
        <v>6357992.9799999995</v>
      </c>
      <c r="E54" s="117" t="s">
        <v>17</v>
      </c>
      <c r="F54" s="72" t="s">
        <v>240</v>
      </c>
      <c r="G54" s="118">
        <v>724635</v>
      </c>
      <c r="I54" s="30"/>
    </row>
    <row r="55" spans="1:9" ht="21.75">
      <c r="A55" s="91">
        <v>2475000</v>
      </c>
      <c r="B55" s="62"/>
      <c r="C55" s="62"/>
      <c r="D55" s="118">
        <f>165636.2+144089.59+173595+170797.29+124999.72+190771.35+164698.34+190704.55+170781.03</f>
        <v>1496073.07</v>
      </c>
      <c r="E55" s="117" t="s">
        <v>18</v>
      </c>
      <c r="F55" s="72" t="s">
        <v>243</v>
      </c>
      <c r="G55" s="118">
        <v>170781.03</v>
      </c>
      <c r="I55" s="30"/>
    </row>
    <row r="56" spans="1:9" ht="21.75">
      <c r="A56" s="91">
        <v>21487700</v>
      </c>
      <c r="B56" s="62"/>
      <c r="C56" s="62"/>
      <c r="D56" s="91">
        <f>40453.8+21346.33+159831+51500+111600+184470+14290711+33600</f>
        <v>14893512.13</v>
      </c>
      <c r="E56" s="117" t="s">
        <v>19</v>
      </c>
      <c r="F56" s="72" t="s">
        <v>263</v>
      </c>
      <c r="G56" s="118">
        <v>33600</v>
      </c>
      <c r="I56" s="30"/>
    </row>
    <row r="57" spans="1:9" ht="24">
      <c r="A57" s="91"/>
      <c r="B57" s="62"/>
      <c r="C57" s="62"/>
      <c r="D57" s="148">
        <v>95900</v>
      </c>
      <c r="E57" s="149" t="s">
        <v>258</v>
      </c>
      <c r="F57" s="72" t="s">
        <v>259</v>
      </c>
      <c r="G57" s="150">
        <v>0</v>
      </c>
      <c r="I57" s="30"/>
    </row>
    <row r="58" spans="1:9" ht="21.75">
      <c r="A58" s="91">
        <v>36920400</v>
      </c>
      <c r="B58" s="62"/>
      <c r="C58" s="62"/>
      <c r="D58" s="91">
        <f>2325000+2793600+4495500+2872500+1210000+2470600</f>
        <v>16167200</v>
      </c>
      <c r="E58" s="117" t="s">
        <v>20</v>
      </c>
      <c r="F58" s="72" t="s">
        <v>244</v>
      </c>
      <c r="G58" s="118">
        <v>2470600</v>
      </c>
      <c r="I58" s="30"/>
    </row>
    <row r="59" spans="1:14" ht="21.75">
      <c r="A59" s="91">
        <v>4776000</v>
      </c>
      <c r="B59" s="62"/>
      <c r="C59" s="62"/>
      <c r="D59" s="91">
        <f>804000+93150+10000+870000+258000+632000</f>
        <v>2667150</v>
      </c>
      <c r="E59" s="117" t="s">
        <v>10</v>
      </c>
      <c r="F59" s="72" t="s">
        <v>245</v>
      </c>
      <c r="G59" s="118">
        <v>632000</v>
      </c>
      <c r="I59" s="30">
        <f>+G59+G56+G55+G54+G53+G52+G50+G49+G48+G47+G46</f>
        <v>14204574.65</v>
      </c>
      <c r="J59" s="30">
        <f>+D59+D58+D56+D55+D54+D53+D52+D50+D49+D48+D47+D46</f>
        <v>139112100.32999998</v>
      </c>
      <c r="K59" s="30"/>
      <c r="L59" s="30"/>
      <c r="M59" s="30"/>
      <c r="N59" s="30"/>
    </row>
    <row r="60" spans="1:9" ht="21.75">
      <c r="A60" s="91"/>
      <c r="B60" s="62"/>
      <c r="C60" s="62"/>
      <c r="D60" s="91">
        <f aca="true" t="shared" si="1" ref="D60:D72">+G60</f>
        <v>0</v>
      </c>
      <c r="E60" s="117" t="s">
        <v>125</v>
      </c>
      <c r="F60" s="72" t="s">
        <v>246</v>
      </c>
      <c r="G60" s="118">
        <v>0</v>
      </c>
      <c r="I60" s="30"/>
    </row>
    <row r="61" spans="1:9" ht="21.75">
      <c r="A61" s="62"/>
      <c r="B61" s="62"/>
      <c r="C61" s="62"/>
      <c r="D61" s="91">
        <f t="shared" si="1"/>
        <v>0</v>
      </c>
      <c r="E61" s="117" t="s">
        <v>111</v>
      </c>
      <c r="F61" s="72" t="s">
        <v>267</v>
      </c>
      <c r="G61" s="118">
        <v>0</v>
      </c>
      <c r="I61" s="30"/>
    </row>
    <row r="62" spans="1:9" ht="21.75">
      <c r="A62" s="62"/>
      <c r="B62" s="62"/>
      <c r="C62" s="62"/>
      <c r="D62" s="91">
        <f>45944+3252420+189150+1689150+1767054+1566640.12+1431770+747886+716960</f>
        <v>11406974.120000001</v>
      </c>
      <c r="E62" s="117" t="s">
        <v>104</v>
      </c>
      <c r="F62" s="72" t="s">
        <v>228</v>
      </c>
      <c r="G62" s="118">
        <v>716960</v>
      </c>
      <c r="I62" s="30"/>
    </row>
    <row r="63" spans="1:9" ht="21.75">
      <c r="A63" s="62"/>
      <c r="B63" s="62"/>
      <c r="C63" s="62"/>
      <c r="D63" s="91">
        <f t="shared" si="1"/>
        <v>0</v>
      </c>
      <c r="E63" s="117" t="s">
        <v>105</v>
      </c>
      <c r="F63" s="70" t="s">
        <v>229</v>
      </c>
      <c r="G63" s="118">
        <v>0</v>
      </c>
      <c r="I63" s="30"/>
    </row>
    <row r="64" spans="1:9" ht="21.75">
      <c r="A64" s="62"/>
      <c r="B64" s="62"/>
      <c r="C64" s="62"/>
      <c r="D64" s="91">
        <f t="shared" si="1"/>
        <v>0</v>
      </c>
      <c r="E64" s="117" t="s">
        <v>106</v>
      </c>
      <c r="F64" s="70" t="s">
        <v>227</v>
      </c>
      <c r="G64" s="103"/>
      <c r="I64" s="30"/>
    </row>
    <row r="65" spans="1:9" ht="21.75">
      <c r="A65" s="62"/>
      <c r="B65" s="62"/>
      <c r="C65" s="62"/>
      <c r="D65" s="91">
        <f>23600+6800+6800+15600</f>
        <v>52800</v>
      </c>
      <c r="E65" s="117" t="s">
        <v>142</v>
      </c>
      <c r="F65" s="70" t="s">
        <v>230</v>
      </c>
      <c r="G65" s="103">
        <v>15600</v>
      </c>
      <c r="I65" s="30"/>
    </row>
    <row r="66" spans="1:7" ht="21.75">
      <c r="A66" s="62"/>
      <c r="B66" s="62"/>
      <c r="C66" s="62"/>
      <c r="D66" s="91">
        <f t="shared" si="1"/>
        <v>0</v>
      </c>
      <c r="E66" s="117" t="s">
        <v>107</v>
      </c>
      <c r="F66" s="70" t="s">
        <v>225</v>
      </c>
      <c r="G66" s="103"/>
    </row>
    <row r="67" spans="1:7" ht="21.75">
      <c r="A67" s="62"/>
      <c r="B67" s="62"/>
      <c r="C67" s="62"/>
      <c r="D67" s="91">
        <f t="shared" si="1"/>
        <v>0</v>
      </c>
      <c r="E67" s="117" t="s">
        <v>108</v>
      </c>
      <c r="F67" s="70" t="s">
        <v>226</v>
      </c>
      <c r="G67" s="103"/>
    </row>
    <row r="68" spans="1:7" ht="21.75">
      <c r="A68" s="62"/>
      <c r="B68" s="62"/>
      <c r="C68" s="62"/>
      <c r="D68" s="91">
        <f t="shared" si="1"/>
        <v>0</v>
      </c>
      <c r="E68" s="117" t="s">
        <v>103</v>
      </c>
      <c r="F68" s="70" t="s">
        <v>247</v>
      </c>
      <c r="G68" s="103"/>
    </row>
    <row r="69" spans="1:7" ht="21.75">
      <c r="A69" s="62"/>
      <c r="B69" s="62"/>
      <c r="C69" s="62"/>
      <c r="D69" s="91">
        <f t="shared" si="1"/>
        <v>0</v>
      </c>
      <c r="E69" s="117" t="s">
        <v>100</v>
      </c>
      <c r="F69" s="70" t="s">
        <v>248</v>
      </c>
      <c r="G69" s="103"/>
    </row>
    <row r="70" spans="1:7" ht="21.75">
      <c r="A70" s="62"/>
      <c r="B70" s="62"/>
      <c r="C70" s="62"/>
      <c r="D70" s="91">
        <v>78200</v>
      </c>
      <c r="E70" s="117" t="s">
        <v>73</v>
      </c>
      <c r="F70" s="72" t="s">
        <v>262</v>
      </c>
      <c r="G70" s="103">
        <v>0</v>
      </c>
    </row>
    <row r="71" spans="1:7" ht="21.75">
      <c r="A71" s="62"/>
      <c r="B71" s="62"/>
      <c r="C71" s="62"/>
      <c r="D71" s="91">
        <f>132800+34000+400786.5+4780000</f>
        <v>5347586.5</v>
      </c>
      <c r="E71" s="117" t="s">
        <v>202</v>
      </c>
      <c r="F71" s="70" t="s">
        <v>264</v>
      </c>
      <c r="G71" s="103">
        <f>+หมายเหตุ!E38</f>
        <v>0</v>
      </c>
    </row>
    <row r="72" spans="1:7" ht="21.75">
      <c r="A72" s="62"/>
      <c r="B72" s="62"/>
      <c r="C72" s="62"/>
      <c r="D72" s="91">
        <f t="shared" si="1"/>
        <v>0</v>
      </c>
      <c r="E72" s="117" t="s">
        <v>190</v>
      </c>
      <c r="F72" s="72" t="s">
        <v>265</v>
      </c>
      <c r="G72" s="103"/>
    </row>
    <row r="73" spans="1:7" ht="21.75">
      <c r="A73" s="62"/>
      <c r="B73" s="62"/>
      <c r="C73" s="62"/>
      <c r="D73" s="91">
        <f>715046.52+1028367.48+3345496.48+1612704.96+1449421.98+3391495.96+1771533+1090660.05+1132561.27</f>
        <v>15537287.7</v>
      </c>
      <c r="E73" s="117" t="s">
        <v>11</v>
      </c>
      <c r="F73" s="72" t="s">
        <v>261</v>
      </c>
      <c r="G73" s="103">
        <f>+หมายเหตุ!D32</f>
        <v>1132561.27</v>
      </c>
    </row>
    <row r="74" spans="1:7" ht="21.75">
      <c r="A74" s="62"/>
      <c r="B74" s="62"/>
      <c r="C74" s="62"/>
      <c r="D74" s="91">
        <v>0</v>
      </c>
      <c r="E74" s="117" t="s">
        <v>12</v>
      </c>
      <c r="F74" s="72" t="s">
        <v>231</v>
      </c>
      <c r="G74" s="103">
        <v>0</v>
      </c>
    </row>
    <row r="75" spans="1:7" ht="21.75">
      <c r="A75" s="62"/>
      <c r="B75" s="62"/>
      <c r="C75" s="62"/>
      <c r="D75" s="91">
        <v>237847.96</v>
      </c>
      <c r="E75" s="117" t="s">
        <v>144</v>
      </c>
      <c r="F75" s="72" t="s">
        <v>249</v>
      </c>
      <c r="G75" s="103">
        <v>0</v>
      </c>
    </row>
    <row r="76" spans="1:7" ht="24">
      <c r="A76" s="62"/>
      <c r="B76" s="62"/>
      <c r="C76" s="62"/>
      <c r="D76" s="91"/>
      <c r="E76" s="16"/>
      <c r="F76" s="72"/>
      <c r="G76" s="142"/>
    </row>
    <row r="77" spans="1:7" ht="24">
      <c r="A77" s="62"/>
      <c r="B77" s="62"/>
      <c r="C77" s="62"/>
      <c r="D77" s="91"/>
      <c r="E77" s="16"/>
      <c r="F77" s="72"/>
      <c r="G77" s="142"/>
    </row>
    <row r="78" spans="1:7" ht="24">
      <c r="A78" s="62"/>
      <c r="B78" s="62"/>
      <c r="C78" s="62"/>
      <c r="D78" s="91"/>
      <c r="E78" s="16"/>
      <c r="F78" s="72"/>
      <c r="G78" s="142"/>
    </row>
    <row r="79" spans="1:7" ht="24">
      <c r="A79" s="62"/>
      <c r="B79" s="62"/>
      <c r="C79" s="62"/>
      <c r="D79" s="62"/>
      <c r="E79" s="16"/>
      <c r="F79" s="72"/>
      <c r="G79" s="142"/>
    </row>
    <row r="80" spans="1:7" ht="24.75" thickBot="1">
      <c r="A80" s="62"/>
      <c r="B80" s="62"/>
      <c r="C80" s="62"/>
      <c r="D80" s="62"/>
      <c r="E80" s="16"/>
      <c r="F80" s="72"/>
      <c r="G80" s="143"/>
    </row>
    <row r="81" spans="1:10" ht="22.5" thickBot="1">
      <c r="A81" s="93">
        <f>SUM(A46:A60)</f>
        <v>235000000</v>
      </c>
      <c r="B81" s="69"/>
      <c r="C81" s="69"/>
      <c r="D81" s="99">
        <f>SUM(D46:D79)</f>
        <v>171881596.60999998</v>
      </c>
      <c r="E81" s="119" t="s">
        <v>22</v>
      </c>
      <c r="F81" s="69"/>
      <c r="G81" s="104">
        <f>SUM(G46:G80)</f>
        <v>18553195.919999998</v>
      </c>
      <c r="I81" s="102">
        <f>+กระแสเงินสด!C62</f>
        <v>18553195.92</v>
      </c>
      <c r="J81" s="102">
        <f>+กระแสเงินสด!E62</f>
        <v>171881596.61</v>
      </c>
    </row>
    <row r="82" spans="1:10" ht="21.75">
      <c r="A82" s="79"/>
      <c r="B82" s="79"/>
      <c r="C82" s="79"/>
      <c r="D82" s="61"/>
      <c r="E82" s="120" t="s">
        <v>23</v>
      </c>
      <c r="F82" s="79"/>
      <c r="G82" s="61"/>
      <c r="I82" s="102">
        <f>+G81-I81</f>
        <v>0</v>
      </c>
      <c r="J82" s="102">
        <f>+D81-J81</f>
        <v>0</v>
      </c>
    </row>
    <row r="83" spans="1:7" ht="21.75">
      <c r="A83" s="79"/>
      <c r="B83" s="79"/>
      <c r="C83" s="79"/>
      <c r="D83" s="62"/>
      <c r="E83" s="120" t="s">
        <v>26</v>
      </c>
      <c r="F83" s="79"/>
      <c r="G83" s="62"/>
    </row>
    <row r="84" spans="1:9" ht="19.5" thickBot="1">
      <c r="A84" s="79"/>
      <c r="B84" s="79"/>
      <c r="C84" s="79"/>
      <c r="D84" s="121">
        <f>+กระแสเงินสด!E63</f>
        <v>36824483.91999996</v>
      </c>
      <c r="E84" s="120" t="s">
        <v>27</v>
      </c>
      <c r="F84" s="79"/>
      <c r="G84" s="173">
        <v>-18075.48</v>
      </c>
      <c r="I84" s="174">
        <f>+G39-G81</f>
        <v>-18075.47999999672</v>
      </c>
    </row>
    <row r="85" spans="1:10" ht="19.5" thickBot="1">
      <c r="A85" s="79"/>
      <c r="B85" s="79"/>
      <c r="C85" s="79"/>
      <c r="D85" s="101">
        <f>+G85</f>
        <v>76558689.35</v>
      </c>
      <c r="E85" s="120" t="s">
        <v>24</v>
      </c>
      <c r="F85" s="79"/>
      <c r="G85" s="92">
        <f>+G8+G39-G81</f>
        <v>76558689.35</v>
      </c>
      <c r="I85" s="30" t="s">
        <v>154</v>
      </c>
      <c r="J85" s="102" t="s">
        <v>154</v>
      </c>
    </row>
    <row r="86" spans="6:7" ht="19.5" thickTop="1">
      <c r="F86" s="79"/>
      <c r="G86" s="79"/>
    </row>
    <row r="87" spans="1:4" ht="18.75">
      <c r="A87" s="79"/>
      <c r="B87" s="79"/>
      <c r="C87" s="79"/>
      <c r="D87" s="79"/>
    </row>
    <row r="88" ht="18.75">
      <c r="I88" s="14" t="s">
        <v>154</v>
      </c>
    </row>
  </sheetData>
  <sheetProtection/>
  <mergeCells count="6">
    <mergeCell ref="A40:G40"/>
    <mergeCell ref="A2:H2"/>
    <mergeCell ref="A4:D4"/>
    <mergeCell ref="A41:D41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horizontalDpi="600" verticalDpi="600" orientation="portrait" paperSize="9" scale="90" r:id="rId3"/>
  <rowBreaks count="1" manualBreakCount="1">
    <brk id="39" max="1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7" customWidth="1"/>
    <col min="2" max="2" width="57.7109375" style="7" customWidth="1"/>
    <col min="3" max="3" width="18.00390625" style="7" customWidth="1"/>
    <col min="4" max="16384" width="9.140625" style="7" customWidth="1"/>
  </cols>
  <sheetData>
    <row r="1" spans="1:3" ht="21">
      <c r="A1" s="166" t="s">
        <v>29</v>
      </c>
      <c r="B1" s="166"/>
      <c r="C1" s="166"/>
    </row>
    <row r="2" spans="1:3" ht="21">
      <c r="A2" s="166" t="s">
        <v>191</v>
      </c>
      <c r="B2" s="166"/>
      <c r="C2" s="166"/>
    </row>
    <row r="3" spans="1:3" ht="21">
      <c r="A3" s="166" t="s">
        <v>195</v>
      </c>
      <c r="B3" s="166"/>
      <c r="C3" s="166"/>
    </row>
    <row r="4" spans="1:3" ht="21">
      <c r="A4" s="5" t="s">
        <v>192</v>
      </c>
      <c r="B4" s="5"/>
      <c r="C4" s="5"/>
    </row>
    <row r="5" spans="1:3" ht="21">
      <c r="A5" s="88" t="s">
        <v>76</v>
      </c>
      <c r="B5" s="4"/>
      <c r="C5" s="4" t="s">
        <v>53</v>
      </c>
    </row>
    <row r="6" ht="21">
      <c r="B6" s="7" t="s">
        <v>154</v>
      </c>
    </row>
    <row r="10" ht="21">
      <c r="B10" s="8"/>
    </row>
    <row r="11" ht="21">
      <c r="B11" s="8"/>
    </row>
    <row r="12" spans="2:3" ht="21.75" thickBot="1">
      <c r="B12" s="89" t="s">
        <v>31</v>
      </c>
      <c r="C12" s="90">
        <f>SUM(C6:C11)</f>
        <v>0</v>
      </c>
    </row>
    <row r="13" spans="1:2" ht="21.75" thickTop="1">
      <c r="A13" s="5" t="s">
        <v>193</v>
      </c>
      <c r="B13" s="5"/>
    </row>
    <row r="14" spans="1:2" ht="21">
      <c r="A14" s="88" t="s">
        <v>76</v>
      </c>
      <c r="B14" s="4"/>
    </row>
    <row r="19" spans="2:3" ht="21.75" thickBot="1">
      <c r="B19" s="89" t="s">
        <v>31</v>
      </c>
      <c r="C19" s="90">
        <f>SUM(C8:C18)</f>
        <v>0</v>
      </c>
    </row>
    <row r="20" ht="21.75" thickTop="1"/>
    <row r="21" spans="1:2" ht="21">
      <c r="A21" s="5" t="s">
        <v>194</v>
      </c>
      <c r="B21" s="5"/>
    </row>
    <row r="22" ht="21">
      <c r="B22" s="7" t="s">
        <v>48</v>
      </c>
    </row>
    <row r="23" ht="21">
      <c r="B23" s="7" t="s">
        <v>74</v>
      </c>
    </row>
    <row r="24" ht="21">
      <c r="B24" s="7" t="s">
        <v>49</v>
      </c>
    </row>
    <row r="25" ht="21">
      <c r="B25" s="7" t="s">
        <v>75</v>
      </c>
    </row>
    <row r="26" ht="21">
      <c r="B26" s="7" t="s">
        <v>128</v>
      </c>
    </row>
    <row r="27" ht="21">
      <c r="B27" s="7" t="s">
        <v>9</v>
      </c>
    </row>
    <row r="28" ht="21">
      <c r="B28" s="7" t="s">
        <v>51</v>
      </c>
    </row>
    <row r="29" spans="2:7" ht="21">
      <c r="B29" s="7" t="s">
        <v>95</v>
      </c>
      <c r="G29" s="7" t="s">
        <v>154</v>
      </c>
    </row>
    <row r="30" ht="21">
      <c r="B30" s="7" t="s">
        <v>121</v>
      </c>
    </row>
    <row r="31" ht="21">
      <c r="B31" s="7" t="s">
        <v>114</v>
      </c>
    </row>
    <row r="32" ht="21">
      <c r="B32" s="7" t="s">
        <v>122</v>
      </c>
    </row>
    <row r="33" ht="21">
      <c r="B33" s="7" t="s">
        <v>152</v>
      </c>
    </row>
    <row r="34" ht="21">
      <c r="B34" s="14" t="s">
        <v>162</v>
      </c>
    </row>
    <row r="35" ht="21">
      <c r="B35" s="14" t="s">
        <v>174</v>
      </c>
    </row>
    <row r="36" ht="21">
      <c r="B36" s="14" t="s">
        <v>175</v>
      </c>
    </row>
    <row r="37" ht="21">
      <c r="B37" s="7" t="s">
        <v>115</v>
      </c>
    </row>
    <row r="38" ht="21">
      <c r="B38" s="7" t="s">
        <v>57</v>
      </c>
    </row>
    <row r="39" ht="21">
      <c r="B39" s="8" t="s">
        <v>55</v>
      </c>
    </row>
    <row r="40" ht="21">
      <c r="B40" s="8" t="s">
        <v>56</v>
      </c>
    </row>
    <row r="41" spans="2:3" ht="21.75" thickBot="1">
      <c r="B41" s="89" t="s">
        <v>31</v>
      </c>
      <c r="C41" s="90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52"/>
      <c r="N24" s="52"/>
    </row>
    <row r="25" spans="1:12" ht="21.7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21.75">
      <c r="A26" s="1"/>
      <c r="D26" s="52"/>
      <c r="F26" s="52"/>
      <c r="J26" s="52"/>
      <c r="L26" s="52"/>
    </row>
    <row r="27" spans="6:10" ht="21.75">
      <c r="F27" s="1"/>
      <c r="J27" s="1"/>
    </row>
    <row r="28" spans="6:10" ht="21.75">
      <c r="F28" s="52">
        <f>+F27-F26</f>
        <v>0</v>
      </c>
      <c r="J28" s="96">
        <f>+J27-J26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2017-07-05T04:43:01Z</cp:lastPrinted>
  <dcterms:created xsi:type="dcterms:W3CDTF">2004-10-29T06:51:22Z</dcterms:created>
  <dcterms:modified xsi:type="dcterms:W3CDTF">2017-07-05T04:43:55Z</dcterms:modified>
  <cp:category/>
  <cp:version/>
  <cp:contentType/>
  <cp:contentStatus/>
</cp:coreProperties>
</file>