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95" windowHeight="6870" tabRatio="505" activeTab="0"/>
  </bookViews>
  <sheets>
    <sheet name="กระแสเงินสด" sheetId="1" r:id="rId1"/>
    <sheet name="Sheet1" sheetId="2" r:id="rId2"/>
    <sheet name="รับจ่าย" sheetId="3" r:id="rId3"/>
    <sheet name="งบทดลอง" sheetId="4" r:id="rId4"/>
    <sheet name="หมายเหตุ" sheetId="5" r:id="rId5"/>
    <sheet name="หมายเหตุยกมา" sheetId="6" r:id="rId6"/>
  </sheets>
  <definedNames/>
  <calcPr fullCalcOnLoad="1"/>
</workbook>
</file>

<file path=xl/sharedStrings.xml><?xml version="1.0" encoding="utf-8"?>
<sst xmlns="http://schemas.openxmlformats.org/spreadsheetml/2006/main" count="935" uniqueCount="315">
  <si>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</si>
  <si>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</si>
  <si>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</si>
  <si>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</si>
  <si>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</si>
  <si>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</si>
  <si>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</si>
  <si>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</si>
  <si>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</si>
  <si>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รายได้เบ็ดเตล็ด</t>
  </si>
  <si>
    <t>เงินอุดหนุน</t>
  </si>
  <si>
    <t>เงินรับฝาก ( หมายเหตุ 2 )</t>
  </si>
  <si>
    <t>เงินสะสม</t>
  </si>
  <si>
    <t>รายจ่าย</t>
  </si>
  <si>
    <t>งบกลาง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</si>
  <si>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</si>
  <si>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</si>
  <si>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</si>
  <si>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</si>
  <si>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</si>
  <si>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</si>
  <si>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</si>
  <si>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</si>
  <si>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>ค่าจ้างประจำ</t>
  </si>
  <si>
    <t xml:space="preserve"> - 2 -</t>
  </si>
  <si>
    <t>รวมรายจ่าย</t>
  </si>
  <si>
    <t>สูงกว่า</t>
  </si>
  <si>
    <t>ยอดยกไป</t>
  </si>
  <si>
    <t>รวมรายรับ</t>
  </si>
  <si>
    <t>รายรับ                           รายจ่าย</t>
  </si>
  <si>
    <t xml:space="preserve"> ต่ำกว่า </t>
  </si>
  <si>
    <t>เงินฝาก ก.ส.ท.</t>
  </si>
  <si>
    <t>เทศบาลตำบลบ้านเป็ด</t>
  </si>
  <si>
    <t>รายจ่ายรอจ่าย</t>
  </si>
  <si>
    <t>รวม</t>
  </si>
  <si>
    <t>411000</t>
  </si>
  <si>
    <t>412000</t>
  </si>
  <si>
    <t>413000</t>
  </si>
  <si>
    <t>415000</t>
  </si>
  <si>
    <t>421000</t>
  </si>
  <si>
    <t>220400</t>
  </si>
  <si>
    <t>220600</t>
  </si>
  <si>
    <t>531000</t>
  </si>
  <si>
    <t>532000</t>
  </si>
  <si>
    <t>533000</t>
  </si>
  <si>
    <t>534000</t>
  </si>
  <si>
    <t>541000</t>
  </si>
  <si>
    <t>542000</t>
  </si>
  <si>
    <t>210402</t>
  </si>
  <si>
    <t>130600</t>
  </si>
  <si>
    <t>431000</t>
  </si>
  <si>
    <t>110601</t>
  </si>
  <si>
    <t>110602</t>
  </si>
  <si>
    <t>110605</t>
  </si>
  <si>
    <t>230100</t>
  </si>
  <si>
    <t>300000</t>
  </si>
  <si>
    <t>รายงานกระแสเงินสด</t>
  </si>
  <si>
    <t>รายรับ</t>
  </si>
  <si>
    <t>ตั้งแต่ต้นปีถึงปัจจุบัน</t>
  </si>
  <si>
    <t>รับเงินรายรับ</t>
  </si>
  <si>
    <t>รับเงินรับฝาก</t>
  </si>
  <si>
    <t>ลูกหนี้ - ภาษีโรงเรือนและที่ดิน</t>
  </si>
  <si>
    <t>รับสูง หรือ (ต่ำ) กว่าจ่าย</t>
  </si>
  <si>
    <t xml:space="preserve">งบทดลอง </t>
  </si>
  <si>
    <t>รหัสบัญชี</t>
  </si>
  <si>
    <t>เดบิต</t>
  </si>
  <si>
    <t>เครดิต</t>
  </si>
  <si>
    <t>เงินฝากธนาคารกรุงไทย - ขอนแก่น 405-1-60340-7</t>
  </si>
  <si>
    <t>110201</t>
  </si>
  <si>
    <t>110202</t>
  </si>
  <si>
    <t>120200</t>
  </si>
  <si>
    <t>510000</t>
  </si>
  <si>
    <t>520000</t>
  </si>
  <si>
    <t>120700</t>
  </si>
  <si>
    <t>210500</t>
  </si>
  <si>
    <t>220100</t>
  </si>
  <si>
    <t>320000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</si>
  <si>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</si>
  <si>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</si>
  <si>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</si>
  <si>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</si>
  <si>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</si>
  <si>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</si>
  <si>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5 %</t>
  </si>
  <si>
    <t>โครงการเศรษฐกิจชุมชน</t>
  </si>
  <si>
    <t>รายจ่ายค้างจ่าย ( หมายเหตุ 3 )</t>
  </si>
  <si>
    <t>จำนวนเงิน</t>
  </si>
  <si>
    <t>เงินสด</t>
  </si>
  <si>
    <t>ลูกหนี้ - เงินยืมเงินงบประมาณ</t>
  </si>
  <si>
    <t>สินเชื่อธนาคารกรุงไทย</t>
  </si>
  <si>
    <t>สินเชื่อธนาคารออมสิน</t>
  </si>
  <si>
    <t>สินเชื่อธนาคารอาคารสงเคราะห์</t>
  </si>
  <si>
    <t>ยกมา</t>
  </si>
  <si>
    <t>ลูกหนี้ - ภาษีบำรุงท้องที่</t>
  </si>
  <si>
    <t>เงินรับฝาก (หมายเหตุ 2)</t>
  </si>
  <si>
    <t>เงินฝากธนาคารกรุงไทย - ขอนแก่น 405-6-06615-9</t>
  </si>
  <si>
    <t>110203</t>
  </si>
  <si>
    <t>560000</t>
  </si>
  <si>
    <t>561000</t>
  </si>
  <si>
    <t>รับคืน - เงินสะสม</t>
  </si>
  <si>
    <t>ลูกหนี้เงินยืมเงินสะสม</t>
  </si>
  <si>
    <t>ลูกหนี้เงินยืมเงินงบประมาณ</t>
  </si>
  <si>
    <t>110606</t>
  </si>
  <si>
    <t>เงินฝากธนาคารกรุงไทย - ขอนแก่น 405-2-19253-2</t>
  </si>
  <si>
    <t xml:space="preserve">  </t>
  </si>
  <si>
    <t>110604</t>
  </si>
  <si>
    <t>ลูกหนี้ - โครงการเศรษฐกิจชุมชน</t>
  </si>
  <si>
    <t>เงินฝากธนาคารกรุงไทย - ขอนแก่น 405-0-05696-8</t>
  </si>
  <si>
    <t>เงินฝากจังหวัด</t>
  </si>
  <si>
    <t>120100</t>
  </si>
  <si>
    <t>เงินอุดหนุนระบุวัตถุประสงค์ค้างจ่าย</t>
  </si>
  <si>
    <t>210300</t>
  </si>
  <si>
    <t>210200</t>
  </si>
  <si>
    <t xml:space="preserve">เงินทุนสำรองเงินสะสม </t>
  </si>
  <si>
    <t>รับคืนลูกหนี้ - ภาษีโรงเรือนและที่ดิน</t>
  </si>
  <si>
    <t>จ่ายเงินตามงบประมาณ</t>
  </si>
  <si>
    <t>จ่ายเงินรับฝาก</t>
  </si>
  <si>
    <t>จ่ายเงินสะสม</t>
  </si>
  <si>
    <t>จ่ายเงินยืมเงินงบประมาณ</t>
  </si>
  <si>
    <t>จ่ายเงินยืมเงินสะสม</t>
  </si>
  <si>
    <t>จ่ายเงินอุดหนุนระบุวัตถุประสงค์ค้างจ่าย</t>
  </si>
  <si>
    <t>รายจ่ายผัดส่งใบสำคัญ</t>
  </si>
  <si>
    <t>เงินประกันซอง</t>
  </si>
  <si>
    <t>เงินประกันสัญญาเช่าทรัพย์สิน</t>
  </si>
  <si>
    <t>เงินประกันความเสียหาย</t>
  </si>
  <si>
    <t>หมวดที่จ่าย</t>
  </si>
  <si>
    <t xml:space="preserve">           หมวดค่าครุภัณฑ์ที่ดินและสิ่งก่อสร้าง</t>
  </si>
  <si>
    <t xml:space="preserve">                 ค่าครุภัณฑ์</t>
  </si>
  <si>
    <t xml:space="preserve">                 ค่าที่ดินและสิ่งก่อสร้าง</t>
  </si>
  <si>
    <t>รายงานรับ - จ่าย  เงินสด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</si>
  <si>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</si>
  <si>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</si>
  <si>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</si>
  <si>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</si>
  <si>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</si>
  <si>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 xml:space="preserve">        - ภาษีบำรุงท้องที่</t>
  </si>
  <si>
    <t xml:space="preserve">        - โครงการเศรษฐกิจชุมชน</t>
  </si>
  <si>
    <t xml:space="preserve">        - เงินยืมเงินงบประมาณ</t>
  </si>
  <si>
    <t xml:space="preserve">        - เงินยืมเงินสะสม</t>
  </si>
  <si>
    <t>310000</t>
  </si>
  <si>
    <t>441002</t>
  </si>
  <si>
    <t>เงินฝากสมทบ ก.ส.ท.</t>
  </si>
  <si>
    <t>จ่ายเงินฝากสมทบ ก.ส.ท.</t>
  </si>
  <si>
    <t>หมวดเงินอุดหนุน</t>
  </si>
  <si>
    <t xml:space="preserve"> -</t>
  </si>
  <si>
    <r>
      <t>รายรับ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 หมายเหตุ 1 )</t>
    </r>
  </si>
  <si>
    <t>ลูกหนี้ - เงินยืมเงินสะสม</t>
  </si>
  <si>
    <t>เงินอุดหนุนระบุวัตถุประสงค์ - เบี้ยยังชีพผู้สูงอายุ</t>
  </si>
  <si>
    <t>เงินอุดหนุนระบุวัตถุประสงค์ - เบี้ยยังชีพผู้พิการ</t>
  </si>
  <si>
    <t>รับคืน - เงินยืมเงินงบประมาณ</t>
  </si>
  <si>
    <t>รับคืน - เงินยืมเงินสะสม</t>
  </si>
  <si>
    <t>รับคืน - เงินยืมโครงการเศรษฐกิจชุมชน</t>
  </si>
  <si>
    <t>ภาษีหน้าฎีกา</t>
  </si>
  <si>
    <t>ภาษีหน้าฏีกา</t>
  </si>
  <si>
    <t>รับคืน - ค่าตอบแทน</t>
  </si>
  <si>
    <t>140000</t>
  </si>
  <si>
    <t>รับคืน - ค่าใช้สอย</t>
  </si>
  <si>
    <t>สหกรณ์ออมทรัพย์พนักงานเทศบาล</t>
  </si>
  <si>
    <t>รับคืน - ค่าสาธารณูปโภค</t>
  </si>
  <si>
    <t>จ่ายเงินยืมโครงการเศรษฐกิจชุมชน</t>
  </si>
  <si>
    <t>ลูกหนี้เงินยืมโครงการเศรษฐกิจชุมชน</t>
  </si>
  <si>
    <t>รับคืน - ค่าจ้างชั่วคราว</t>
  </si>
  <si>
    <t>รับคืน - งบกลาง</t>
  </si>
  <si>
    <t>เงินรายรับ (หมายเหตุ 1)</t>
  </si>
  <si>
    <t>เจ้าหนี้เงินกู้ - ก.ส.ท.</t>
  </si>
  <si>
    <t>220102</t>
  </si>
  <si>
    <t>เจ้าหนี้เงินกู้ - ธนาคารกรุงไทย</t>
  </si>
  <si>
    <t xml:space="preserve">ทรัพย์สินเกิดจากเงินกู้ </t>
  </si>
  <si>
    <t>จ่ายเจ้าหนี้เงินกู้ - ธ.กรุงไทย</t>
  </si>
  <si>
    <t>เจ้าหนี้เงินกู้ - ธ.กรุงไทย</t>
  </si>
  <si>
    <t>220101</t>
  </si>
  <si>
    <t>ลูกหนี้ภาษีโรงเรือนและที่ดิน</t>
  </si>
  <si>
    <t>ลูกหนี้ภาษีบำรุงท้องที่</t>
  </si>
  <si>
    <t>ลูกหนี้  -  เงินยืมเงินงบประมาณ</t>
  </si>
  <si>
    <t xml:space="preserve">         -  เงินยืมเงินสะสม</t>
  </si>
  <si>
    <t xml:space="preserve">         -  โครงการเศรษฐกิจชุมชน</t>
  </si>
  <si>
    <t xml:space="preserve">         -  ภาษีโรงเรือนและที่ดิน</t>
  </si>
  <si>
    <t xml:space="preserve">         -  ภาษีบำรุงท้องที่</t>
  </si>
  <si>
    <t xml:space="preserve"> - 3 -</t>
  </si>
  <si>
    <t>220103</t>
  </si>
  <si>
    <t>รับคืนลูกหนี้ - ภาษีบำรุงท้องที่</t>
  </si>
  <si>
    <t>จ่ายเงินอุดหนุนระบุวัตถุประสงค์ - ค่าใช้จ่ายรายหัว ร.ร.เทศบาลฯ</t>
  </si>
  <si>
    <t>จ่ายเงินอุดหนุนระบุวัตถุประสงค์ - ค่ากิจกรรมผู้เรียนรู้ ร.ร.เทศบาลฯ</t>
  </si>
  <si>
    <t>รับเงินกู้ - ก.ส.ท.</t>
  </si>
  <si>
    <t>ทรัพย์สินเกิดจากเงินกู้</t>
  </si>
  <si>
    <t xml:space="preserve">ทรัพย์สินที่เกิดจากเงินกู้ </t>
  </si>
  <si>
    <t>เงินอุดหนุนระบุวัตถุประสงค์ - ครุภัณฑ์การศึกษาศูนย์พัฒนาเด็กเล็ก</t>
  </si>
  <si>
    <t>จ่ายเงินอุดหนุนระบุวัตถุประสงค์ - ค่าหนังสือ ร.ร.เทศบาลฯ</t>
  </si>
  <si>
    <t>รับเงินอุดหนุนระบุวัตถุประสงค์ - ค่าสื่อการเรียนฯ ศูนย์เด็กฯโคกฟันโปง</t>
  </si>
  <si>
    <t>รับเงินอุดหนุนระบุวัตถุประสงค์ - ค่าสื่อการเรียนฯ ศูนย์เด็กฯบ้านเป็ด</t>
  </si>
  <si>
    <t>รับเงินอุดหนุนระบุวัตถุประสงค์ - โครงการป้องกันแก้ไขปัญหายาเสพติด</t>
  </si>
  <si>
    <t>จ่ายเงินอุดหนุนระบุวัตถุประสงค์ - ค่าสื่อการเรียนฯ ศูนย์เด็กฯบ้านเป็ด</t>
  </si>
  <si>
    <t>จ่ายเงินอุดหนุนระบุวัตถุประสงค์ - ค่าสื่อการเรียนฯ ศูนย์เด็กฯโคกฟันโปง</t>
  </si>
  <si>
    <t>จ่ายเงินอุดหนุนระบุวัตถุประสงค์ - โครงการป้องกันแก้ไขปัญหายาเสพติด</t>
  </si>
  <si>
    <t>จ่ายเงินอุดหนุนระบุวัตถุประสงค์ - คก.ก่อสร้างวางท่อระบายน้ำถนนสีหราชฯ</t>
  </si>
  <si>
    <t>เงินเดือน (ฝ่ายการเมือง)</t>
  </si>
  <si>
    <t>เงินเดือน (ฝ่ายประจำ)</t>
  </si>
  <si>
    <t>ลูกหนี้เงินยืมเงินนอกงบประมาณ</t>
  </si>
  <si>
    <t xml:space="preserve">         -  เงินยืมเงินนอกงบประมาณ</t>
  </si>
  <si>
    <t>110607</t>
  </si>
  <si>
    <t>สวัสดิการค่ารักษาพยาบาล พนง.ส่วนท้องถิ่น</t>
  </si>
  <si>
    <t>เงินประกันสังคม (ผู้ประกันตน)</t>
  </si>
  <si>
    <t>รับคืน - เงินทุนสำรองเงินสะสม</t>
  </si>
  <si>
    <t xml:space="preserve">        - เงินยืมเงินนอกงบประมาณ</t>
  </si>
  <si>
    <t>เงินทุนสำรองเงินสะสม</t>
  </si>
  <si>
    <t>รับคืน - เงินอุดหนุน</t>
  </si>
  <si>
    <t>เงินฝากธนาคารอิสลามแห่งประเทศไทย - ขอนแก่น 449-1-14637-3</t>
  </si>
  <si>
    <t>เงินฝากธนาคารอิสลามแห่งประเทศไทย - ขอนแก่น 449-2-02599-5</t>
  </si>
  <si>
    <t>สหกรณ์ออมทรัพย์กรมส่งเสริมการปกครองฯ</t>
  </si>
  <si>
    <t>เงินฝากธนาคารพัฒนาวิสาหกิจ - ขอนแก่น 000-3-00385-4</t>
  </si>
  <si>
    <t>รับเงินอุดหนุนระบุวัตถุประสงค์ - สวัสดิการค่าเล่าเรียนบุตร</t>
  </si>
  <si>
    <t>จ่ายเงินอุดหนุนระบุวัตถุประสงค์ - สวัสดิการค่าเล่าเรียนบุตร</t>
  </si>
  <si>
    <t>รับคืน - เงินเดือน (ฝ่ายประจำ)</t>
  </si>
  <si>
    <t xml:space="preserve">           ปีงบประมาณ  2558</t>
  </si>
  <si>
    <t>รับเงินอุดหนุนทั่วไประบุวัตถุประสงค์ - เพื่อพัฒนาประเทศ</t>
  </si>
  <si>
    <t>เงินอุดหนุนทั่วไประบุวัตถุประสงค์ - เพื่อพัฒนาประเทศ</t>
  </si>
  <si>
    <t>431003</t>
  </si>
  <si>
    <t>รับเงินอุดหนุนทั่วไประบุวัตถุประสงค์ - เบี้ยยังชีพผู้สูงอายุ</t>
  </si>
  <si>
    <t>รับเงินอุดหนุนทั่วไประบุวัตถุประสงค์ - เบี้ยยังชีพผู้พิการ</t>
  </si>
  <si>
    <t>รับเงินอุดหนุนทั่วไประบุวัตถุประสงค์ - เงินเดือน/ค่าตอบแทน ขรก.ครูศูนย์ฯ</t>
  </si>
  <si>
    <t>รับเงินอุดหนุนทั่วไประบุวัตถุประสงค์ - ค่าตอบแทน ผดด.ศูนย์พัฒนาเด็กฯ</t>
  </si>
  <si>
    <t>รับเงินอุดหนุนทั่วไประบุวัตถุประสงค์ - วัสดุการศึกษาศูนย์เด็กฯ บ้านเป็ด</t>
  </si>
  <si>
    <t>รับเงินอุดหนุนทั่วไประบุวัตถุประสงค์ - เงินประกันสังคม ผดด.ศูนย์เด็กฯ</t>
  </si>
  <si>
    <t>รับเงินอุดหนุนทั่วไประบุวัตถุประสงค์ - วัสดุการศึกษาศูนย์ฯ บ้านโคกฟันโปง</t>
  </si>
  <si>
    <t>รับเงินอุดหนุนทั่วไประบุวัตถุประสงค์ - ค่าปัจจัยพื้นฐานสำหรับ นร.ยากจน</t>
  </si>
  <si>
    <t>รับเงินอุดหนุนทั่วไประบุวัตถุประสงค์ - ค่าจัดการเรียนการสอน (ค่ารายหัว)</t>
  </si>
  <si>
    <t>รับเงินอุดหนุนทั่วไประบุวัตถุประสงค์ - ค่าจัดการเรียนการสอน</t>
  </si>
  <si>
    <t>รับเงินอุดหนุนทั่วไประบุวัตถุประสงค์ - ค่ากิจกรรมพัฒนาผู้เรียน</t>
  </si>
  <si>
    <t xml:space="preserve">รับเงินอุดหนุนทั่วไประบุวัตถุประสงค์ - ค่าอุปกรณ์การเรียน </t>
  </si>
  <si>
    <t>จ่ายเงินอุดหนุนทั่วไประบุวัตถุประสงค์ - เบี้ยยังชีพผู้สูงอายุ</t>
  </si>
  <si>
    <t>จ่ายเงินอุดหนุนทั่วไประบุวัตถุประสงค์ - เบี้ยยังชีพผู้พิการ</t>
  </si>
  <si>
    <t>จ่ายเงินอุดหนุนทั่วไประบุวัตถุประสงค์ - เงินเดือน/ค่าตอบแทน ขรก.ครูศูนย์ฯ</t>
  </si>
  <si>
    <t>จ่ายเงินอุดหนุนทั่วไประบุวัตถุประสงค์ - ค่าตอบแทน ผดด.ศูนย์พัฒนาเด็กฯ</t>
  </si>
  <si>
    <t>จ่ายเงินอุดหนุนทั่วไประบุวัตถุประสงค์ - เงินประกันสังคม ผดด.ศูนย์เด็กฯ</t>
  </si>
  <si>
    <t>จ่ายเงินอุดหนุนทั่วไประบุวัตถุประสงค์ - วัสดุการศึกษาศูนย์เด็กฯ บ้านเป็ด</t>
  </si>
  <si>
    <t>จ่ายเงินอุดหนุนทั่วไประบุวัตถุประสงค์ - วัสดุการศึกษาศูนย์ฯ บ้านโคกฟันโปง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</si>
  <si>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</si>
  <si>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เงินอุดหนุนทั่วไประบุวัตถุประสงค์-เบี้ยยังชีพผู้พิการ</t>
  </si>
  <si>
    <t>เงินอุดหนุนทั่วไประบุวัตถุประสงค์-เงินเดือน ขรก.ครูศนย์ฯ</t>
  </si>
  <si>
    <t>เงินอุดหนุนทั่วไประบุวัตถุประสงค์-ค่าตอบแทน ผดด.ศูนย์เด็กฯ</t>
  </si>
  <si>
    <t>เงินอุดหนุนทั่วไประบุวัตถุประสงค์-ประกันสังคม ผดด.ศูนย์เด็ก</t>
  </si>
  <si>
    <t>เงินอุดหนุนทั่วไประบุวัตถุประสงค์-วัสดุศูนย์พัฒนาเด็กบ้านเป็ด</t>
  </si>
  <si>
    <t>เงินอุดหนุนทั่วไประบุวัตถุประสงค์-วัสดุศูนย์พัฒนาเด็กบ้านโคกฯ</t>
  </si>
  <si>
    <t>เงินอุดหนุนทั่วไประบุวัตถุประสงค์-ค่าปัจจัยพื้นฐานสำหรับ นร.ยากจน</t>
  </si>
  <si>
    <t>เงินอุดหนุนทั่วไประบุวัตถุประสงค์-ค่าจัดการเรียนฯ (ค่ารายหัว)</t>
  </si>
  <si>
    <t>เงินอุดหนุนทั่วไประบุวัตถุประสงค์-ค่าจัดการเรียนการสอน</t>
  </si>
  <si>
    <t xml:space="preserve">เงินอุดหนุนทั่วไประบุวัตถุประสงค์-ค่าอุปกรณ์การเรียน </t>
  </si>
  <si>
    <t>เงินอุดหนุนทั่วไประบุวัตถุประสงค์-ค่ากิจกรรมพัฒนาผู้เรียน</t>
  </si>
  <si>
    <t>เงินอุดหนุนทั่วไประบุวัตถุประสงค์ - ค่าเครื่องแบบนักเรียน</t>
  </si>
  <si>
    <t xml:space="preserve">เงินอุดหนุนทั่วไประบุวัตถุประสงค์ - ค่าหนังสือ </t>
  </si>
  <si>
    <t>เงินอุดหนุนทั่วไประบุวัตถุประสงค์ - ค่าสื่อการเรียนฯศูนย์ฯบ้านเป็ด</t>
  </si>
  <si>
    <t>เงินอุดหนุนทั่วไประบุวัตถุประสงค์ - ค่าสื่อการเรียนฯศูนย์ฯโคกฟันโปง</t>
  </si>
  <si>
    <t>เงินอุดหนุนทั่วไประบุวัตถุประสงค์ - โครงการป้องกันฯยาเสพติด</t>
  </si>
  <si>
    <t>เงินอุดหนุนทั่วไประบุวัตถุประสงค์ - สวัสดิการค่าเช่าบ้านบุคลากรศึกษา</t>
  </si>
  <si>
    <t>เงินอุดหนุนทั่วไประบุวัตถุประสงค์ - สวัสดิการค่าเล่าเรียนบุตร</t>
  </si>
  <si>
    <t>ระบบหลักประกันสุขภาพระดับท้องถิ่น</t>
  </si>
  <si>
    <t>รับเงินอุดหนุนระบุวัตถุประสงค์ - เบี้ยยังชีพผู้สูงอายุ</t>
  </si>
  <si>
    <t>จ่ายเงินยืมเงินนอกงบประมาณ - ระบบหลักประกันสุขภาพฯ</t>
  </si>
  <si>
    <t>เงินอุดหนุนระบุวัตถุประสงค์-เบี้ยยังชีพผู้สูงอายุ</t>
  </si>
  <si>
    <t>เงินฝากธนาคารเพื่อการเกษตรฯ - ตลาดกลางฯ 016062036883</t>
  </si>
  <si>
    <t>ลูกหนี้ - เงินยืมเงินนอกงบประมาณ (ระบบหลักประกันสุขภาพฯ)</t>
  </si>
  <si>
    <t>ออมทรัพย์เปี่ยมสุข AIA</t>
  </si>
  <si>
    <t>รับคืน - เงินยืมเงินนอกงบประมาณ - ระบบหลักประกันสุขภาพฯ</t>
  </si>
  <si>
    <t xml:space="preserve">รับเงินอุดหนุนทั่วไประบุวัตถุประสงค์ - ค่าหนังสือเรียน </t>
  </si>
  <si>
    <t xml:space="preserve">รับเงินอุดหนุนทั่วไประบุวัตถุประสงค์ - ค่าเครื่องแบบนักเรียน </t>
  </si>
  <si>
    <t xml:space="preserve">เงินอุดหนุนทั่วไประบุวัตถุประสงค์ - ค่าหนังสือเรียน </t>
  </si>
  <si>
    <t>รายจ่ายอื่น</t>
  </si>
  <si>
    <t>551000</t>
  </si>
  <si>
    <t>เงินอุดหนุนระบุวัตถุประสงค์-ค่าใช้จ่ายรายหัว ร.ร.เทศบาลฯ</t>
  </si>
  <si>
    <t>เงินอุดหนุนระบุวัตถุประสงค์-ค่ากิจกรรมพัฒนาผู้เรียน</t>
  </si>
  <si>
    <t xml:space="preserve">เงินอุดหนุนระบุวัตถุประสงค์ - ค่าหนังสือเรียน </t>
  </si>
  <si>
    <t>รับเงินอุดหนุนระบุวัตถุประสงค์ - เบี้ยยังชีพผู้พิการ</t>
  </si>
  <si>
    <t>จ่ายเงินอุดหนุนระบุวัตถุประสงค์-คก.เสริมผิวทางลาดยาง ม.1,2,3</t>
  </si>
  <si>
    <t>รับเงินอุดหนุนระบุวัตถุประสงค์ - คก.เสริมผิวทางลาดยาง ม.1,2,3</t>
  </si>
  <si>
    <t>จ่ายเงินอุดหนุนระบุวัตถุประสงค์ - เบี้ยยังชีพผู้พิการ</t>
  </si>
  <si>
    <t>เงินอุดหนุนระบุวัตถุประสงค์-เบี้ยยังชีพผู้พิการ</t>
  </si>
  <si>
    <t>เงินอุดหนุนระบุวัตถุประสงค์ - โครงการเสริมผิวทางลาดยาง ม. 1,2,3</t>
  </si>
  <si>
    <t>เงินอุดหนุนระบุวัตถุประสงค์ - คก.เสริมผิวทางลาดยาง ม.1,2,3</t>
  </si>
  <si>
    <t xml:space="preserve">รับเงินอุดหนุนทั่วไประบุวัตถุประสงค์ - ค่าช่วยเหลือบุตร </t>
  </si>
  <si>
    <t>จ่ายเงินอุดหนุนระบุวัตถุประสงค์ - เบี้ยยังชีพผู้สูงอายุ</t>
  </si>
  <si>
    <t>จ่ายเงินอุดหนุนทั่วไประบุวัตถุประสงค์ - ค่าปัจจัยพื้นฐานสำหรับ นร.ยากจน</t>
  </si>
  <si>
    <t>จ่ายเงินอุดหนุนทั่วไประบุวัตถุประสงค์ - ค่าจัดการเรียนการสอน (ค่ารายหัว)</t>
  </si>
  <si>
    <t>จ่ายเงินอุดหนุนทั่วไประบุวัตถุประสงค์ - ค่าจัดการเรียนการสอน</t>
  </si>
  <si>
    <t xml:space="preserve">จ่ายเงินอุดหนุนทั่วไประบุวัตถุประสงค์ - ค่าอุปกรณ์การเรียน </t>
  </si>
  <si>
    <t>จ่ายเงินอุดหนุนทั่วไประบุวัตถุประสงค์ - ค่ากิจกรรมพัฒนาผู้เรียน</t>
  </si>
  <si>
    <t xml:space="preserve">จ่ายเงินอุดหนุนทั่วไประบุวัตถุประสงค์ - ค่าเครื่องแบบนักเรียน </t>
  </si>
  <si>
    <t xml:space="preserve">จ่ายเงินอุดหนุนทั่วไประบุวัตถุประสงค์ - ค่าหนังสือเรียน </t>
  </si>
  <si>
    <t xml:space="preserve">จ่ายเงินอุดหนุนทั่วไประบุวัตถุประสงค์ - ค่าช่วยเหลือบุตร </t>
  </si>
  <si>
    <t xml:space="preserve">เงินอุดหนุนทั่วไประบุวัตถุประสงค์ - ค่าช่วยเหลือบุตร </t>
  </si>
  <si>
    <t>เงินอุดหนุนทั่วไประบุวัตถุประสงค์ - ค่าช่วยเหลือบุตร</t>
  </si>
  <si>
    <t>รับเงินอุดหนุนทั่วไประบุวัตถุประสงค์ - ค่าเช่าบ้าน</t>
  </si>
  <si>
    <t>จ่ายเงินอุดหนุนทั่วไประบุวัตถุประสงค์ - เพื่อพัฒนาประเทศ</t>
  </si>
  <si>
    <t>จ่ายเงินอุดหนุนทั่วไประบุวัตถุประสงค์ - ค่าเช่าบ้าน</t>
  </si>
  <si>
    <t>เงินอุดหนุนทั่วไประบุวัตถุประสงค์ - ค่าเช่าบ้าน</t>
  </si>
  <si>
    <t>รับเงินอุดหนุนระบุวัตถุประสงค์ - ค่าจัดการเรียนการสอน (ค่ารายหัว)</t>
  </si>
  <si>
    <t xml:space="preserve">รับเงินอุดหนุนระบุวัตถุประสงค์ - ค่าหนังสือเรียน </t>
  </si>
  <si>
    <t xml:space="preserve">รับเงินอุดหนุนระบุวัตถุประสงค์ - ค่าอุปกรณ์การเรียน </t>
  </si>
  <si>
    <t xml:space="preserve">รับเงินอุดหนุนระบุวัตถุประสงค์ - ค่าเครื่องแบบนักเรียน </t>
  </si>
  <si>
    <t>เงินอุดหนุนระบุวัตถุประสงค์-ค่าจัดการเรียนฯ (ค่ารายหัว)</t>
  </si>
  <si>
    <t xml:space="preserve">เงินอุดหนุนระบุวัตถุประสงค์-ค่าอุปกรณ์การเรียน </t>
  </si>
  <si>
    <t>เงินอุดหนุนระบุวัตถุประสงค์ - ค่าเครื่องแบบนักเรียน</t>
  </si>
  <si>
    <t>431004</t>
  </si>
  <si>
    <t xml:space="preserve">จ่ายเงินอุดหนุนระบุวัตถุประสงค์ - ค่าอุปกรณ์การเรียน </t>
  </si>
  <si>
    <t xml:space="preserve">จ่ายเงินอุดหนุนระบุวัตถุประสงค์ - ค่าเครื่องแบบนักเรียน </t>
  </si>
  <si>
    <t>เงินอุดหนุนระบุวัตถุประสงค์-ค่าอุปกรณ์การเรียน</t>
  </si>
  <si>
    <t>เงินอุดหนุนระบุวัตถุประสงค์-ค่าเครื่องแบบนักเรียน</t>
  </si>
  <si>
    <t>รับเงินอุดหนุนทั่วไประบุวัตถุประสงค์ - ครุภัณฑ์คอมพิวเตอร์</t>
  </si>
  <si>
    <t>จ่ายเงินอุดหนุนระบุวัตถุประสงค์ - ค่าจัดการเรียนการสอน (ค่ารายหัว)</t>
  </si>
  <si>
    <t>เงินอุดหนุนทั่วไประบุวัตถุประสงค์ - ครุภัณฑ์คอมพิวเตอร์</t>
  </si>
  <si>
    <t>เพียงวันที่  31  สิงหาคม  2558</t>
  </si>
  <si>
    <t>1  สิงหาคม  2558  -  31  สิงหาคม  2558</t>
  </si>
  <si>
    <t>1  ตุลาคม  2557 -  31  สิงหาคม  2558</t>
  </si>
  <si>
    <t>จ่ายเงินอุดหนุนทั่วไประบุวัตถุประสงค์ - ครุภัณฑ์คอมพิวเตอร์</t>
  </si>
  <si>
    <t xml:space="preserve">       เดือน  สิงหาคม  2558</t>
  </si>
  <si>
    <t>ณ   วันที่  31  สิงหาคม  พ.ศ. 2558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</si>
</sst>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</numFmts>
  <fonts count="29">
    <font>
      <sz val="14"/>
      <name val="Cordia New"/>
      <family val="0"/>
    </font>
    <font>
      <sz val="16"/>
      <name val="Dilleni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43" fontId="0" fillId="0" borderId="0" xfId="38" applyFont="1" applyAlignment="1">
      <alignment/>
    </xf>
    <xf numFmtId="181" fontId="1" fillId="0" borderId="0" xfId="38" applyNumberFormat="1" applyFont="1" applyAlignment="1">
      <alignment/>
    </xf>
    <xf numFmtId="43" fontId="1" fillId="0" borderId="0" xfId="38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12" xfId="38" applyFont="1" applyBorder="1" applyAlignment="1">
      <alignment/>
    </xf>
    <xf numFmtId="43" fontId="5" fillId="0" borderId="13" xfId="38" applyFont="1" applyBorder="1" applyAlignment="1">
      <alignment/>
    </xf>
    <xf numFmtId="43" fontId="5" fillId="0" borderId="10" xfId="38" applyFont="1" applyBorder="1" applyAlignment="1">
      <alignment/>
    </xf>
    <xf numFmtId="43" fontId="5" fillId="0" borderId="14" xfId="38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38" applyFont="1" applyAlignment="1">
      <alignment/>
    </xf>
    <xf numFmtId="0" fontId="4" fillId="0" borderId="12" xfId="0" applyFont="1" applyBorder="1" applyAlignment="1">
      <alignment horizontal="center"/>
    </xf>
    <xf numFmtId="43" fontId="5" fillId="0" borderId="15" xfId="38" applyFont="1" applyBorder="1" applyAlignment="1">
      <alignment/>
    </xf>
    <xf numFmtId="0" fontId="4" fillId="0" borderId="0" xfId="0" applyFont="1" applyAlignment="1">
      <alignment/>
    </xf>
    <xf numFmtId="43" fontId="4" fillId="0" borderId="16" xfId="38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/>
    </xf>
    <xf numFmtId="181" fontId="5" fillId="0" borderId="17" xfId="38" applyNumberFormat="1" applyFont="1" applyBorder="1" applyAlignment="1">
      <alignment/>
    </xf>
    <xf numFmtId="181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/>
    </xf>
    <xf numFmtId="181" fontId="5" fillId="0" borderId="10" xfId="38" applyNumberFormat="1" applyFont="1" applyBorder="1" applyAlignment="1">
      <alignment/>
    </xf>
    <xf numFmtId="181" fontId="5" fillId="0" borderId="10" xfId="38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181" fontId="5" fillId="0" borderId="17" xfId="38" applyNumberFormat="1" applyFont="1" applyBorder="1" applyAlignment="1">
      <alignment vertical="top"/>
    </xf>
    <xf numFmtId="181" fontId="5" fillId="0" borderId="17" xfId="0" applyNumberFormat="1" applyFont="1" applyBorder="1" applyAlignment="1">
      <alignment vertical="top"/>
    </xf>
    <xf numFmtId="181" fontId="5" fillId="0" borderId="10" xfId="38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81" fontId="5" fillId="0" borderId="10" xfId="38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43" fontId="5" fillId="0" borderId="18" xfId="38" applyFont="1" applyBorder="1" applyAlignment="1">
      <alignment vertical="center"/>
    </xf>
    <xf numFmtId="43" fontId="4" fillId="0" borderId="18" xfId="38" applyFont="1" applyBorder="1" applyAlignment="1">
      <alignment vertical="center"/>
    </xf>
    <xf numFmtId="43" fontId="0" fillId="0" borderId="0" xfId="38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3" fontId="5" fillId="0" borderId="0" xfId="38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3" fontId="4" fillId="0" borderId="19" xfId="38" applyFont="1" applyBorder="1" applyAlignment="1">
      <alignment vertical="top"/>
    </xf>
    <xf numFmtId="0" fontId="4" fillId="0" borderId="0" xfId="0" applyFont="1" applyBorder="1" applyAlignment="1">
      <alignment vertical="top"/>
    </xf>
    <xf numFmtId="175" fontId="4" fillId="0" borderId="20" xfId="38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43" fontId="0" fillId="0" borderId="0" xfId="38" applyFont="1" applyAlignment="1">
      <alignment horizontal="left"/>
    </xf>
    <xf numFmtId="43" fontId="5" fillId="0" borderId="21" xfId="38" applyFont="1" applyBorder="1" applyAlignment="1">
      <alignment vertical="center"/>
    </xf>
    <xf numFmtId="0" fontId="5" fillId="0" borderId="18" xfId="0" applyFont="1" applyBorder="1" applyAlignment="1">
      <alignment vertical="top"/>
    </xf>
    <xf numFmtId="49" fontId="5" fillId="0" borderId="18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43" fontId="7" fillId="0" borderId="0" xfId="38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5" fontId="5" fillId="0" borderId="3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4" fillId="0" borderId="11" xfId="38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vertical="center"/>
    </xf>
    <xf numFmtId="0" fontId="4" fillId="0" borderId="0" xfId="0" applyFont="1" applyAlignment="1">
      <alignment horizontal="left"/>
    </xf>
    <xf numFmtId="175" fontId="4" fillId="0" borderId="19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181" fontId="4" fillId="0" borderId="32" xfId="38" applyNumberFormat="1" applyFont="1" applyBorder="1" applyAlignment="1">
      <alignment vertical="top"/>
    </xf>
    <xf numFmtId="181" fontId="4" fillId="0" borderId="32" xfId="38" applyNumberFormat="1" applyFont="1" applyFill="1" applyBorder="1" applyAlignment="1">
      <alignment vertical="top"/>
    </xf>
    <xf numFmtId="181" fontId="4" fillId="0" borderId="11" xfId="0" applyNumberFormat="1" applyFont="1" applyBorder="1" applyAlignment="1">
      <alignment vertical="top"/>
    </xf>
    <xf numFmtId="181" fontId="4" fillId="0" borderId="11" xfId="38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181" fontId="4" fillId="0" borderId="12" xfId="38" applyNumberFormat="1" applyFont="1" applyBorder="1" applyAlignment="1">
      <alignment vertical="top"/>
    </xf>
    <xf numFmtId="181" fontId="4" fillId="0" borderId="10" xfId="38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8" fillId="0" borderId="10" xfId="0" applyFont="1" applyFill="1" applyBorder="1" applyAlignment="1">
      <alignment/>
    </xf>
    <xf numFmtId="181" fontId="4" fillId="0" borderId="11" xfId="0" applyNumberFormat="1" applyFont="1" applyBorder="1" applyAlignment="1">
      <alignment/>
    </xf>
    <xf numFmtId="181" fontId="4" fillId="0" borderId="11" xfId="38" applyNumberFormat="1" applyFont="1" applyBorder="1" applyAlignment="1">
      <alignment/>
    </xf>
    <xf numFmtId="0" fontId="4" fillId="0" borderId="11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5" fillId="0" borderId="34" xfId="0" applyFont="1" applyBorder="1" applyAlignment="1">
      <alignment horizontal="left" vertical="center"/>
    </xf>
    <xf numFmtId="0" fontId="5" fillId="0" borderId="26" xfId="0" applyFont="1" applyBorder="1" applyAlignment="1">
      <alignment vertical="top"/>
    </xf>
    <xf numFmtId="49" fontId="5" fillId="0" borderId="18" xfId="0" applyNumberFormat="1" applyFont="1" applyBorder="1" applyAlignment="1">
      <alignment horizontal="center"/>
    </xf>
    <xf numFmtId="43" fontId="5" fillId="0" borderId="0" xfId="0" applyNumberFormat="1" applyFont="1" applyAlignment="1">
      <alignment horizontal="center" vertical="center"/>
    </xf>
    <xf numFmtId="0" fontId="1" fillId="0" borderId="33" xfId="0" applyFont="1" applyFill="1" applyBorder="1" applyAlignment="1">
      <alignment/>
    </xf>
    <xf numFmtId="43" fontId="1" fillId="0" borderId="33" xfId="38" applyFont="1" applyBorder="1" applyAlignment="1">
      <alignment horizontal="center"/>
    </xf>
    <xf numFmtId="43" fontId="0" fillId="0" borderId="0" xfId="38" applyFont="1" applyBorder="1" applyAlignment="1">
      <alignment vertical="top"/>
    </xf>
    <xf numFmtId="43" fontId="5" fillId="0" borderId="18" xfId="38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35" xfId="0" applyFont="1" applyBorder="1" applyAlignment="1">
      <alignment horizontal="centerContinuous" vertical="top"/>
    </xf>
    <xf numFmtId="0" fontId="5" fillId="0" borderId="0" xfId="0" applyFont="1" applyFill="1" applyBorder="1" applyAlignment="1">
      <alignment vertical="top"/>
    </xf>
    <xf numFmtId="49" fontId="5" fillId="0" borderId="18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43" fontId="5" fillId="0" borderId="14" xfId="38" applyFont="1" applyBorder="1" applyAlignment="1">
      <alignment horizontal="right"/>
    </xf>
    <xf numFmtId="43" fontId="0" fillId="0" borderId="0" xfId="0" applyNumberFormat="1" applyAlignment="1">
      <alignment/>
    </xf>
    <xf numFmtId="43" fontId="4" fillId="0" borderId="0" xfId="38" applyFont="1" applyBorder="1" applyAlignment="1">
      <alignment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49" fontId="5" fillId="0" borderId="39" xfId="0" applyNumberFormat="1" applyFont="1" applyBorder="1" applyAlignment="1">
      <alignment horizontal="center" vertical="center"/>
    </xf>
    <xf numFmtId="43" fontId="4" fillId="0" borderId="39" xfId="38" applyFont="1" applyBorder="1" applyAlignment="1">
      <alignment vertical="center"/>
    </xf>
    <xf numFmtId="43" fontId="5" fillId="0" borderId="39" xfId="38" applyFont="1" applyBorder="1" applyAlignment="1">
      <alignment vertical="center"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43" fontId="4" fillId="0" borderId="42" xfId="38" applyFont="1" applyBorder="1" applyAlignment="1">
      <alignment vertical="center"/>
    </xf>
    <xf numFmtId="43" fontId="5" fillId="0" borderId="42" xfId="38" applyFont="1" applyBorder="1" applyAlignment="1">
      <alignment vertical="center"/>
    </xf>
    <xf numFmtId="0" fontId="4" fillId="0" borderId="17" xfId="0" applyFont="1" applyBorder="1" applyAlignment="1">
      <alignment horizontal="center" vertical="top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1114425</xdr:colOff>
      <xdr:row>137</xdr:row>
      <xdr:rowOff>57150</xdr:rowOff>
    </xdr:from>
    <xdr:to>
      <xdr:col>4</xdr:col>
      <xdr:colOff>1647825</xdr:colOff>
      <xdr:row>137</xdr:row>
      <xdr:rowOff>238125</xdr:rowOff>
    </xdr:to>
    <xdr:sp>
      <xdr:nvSpPr>
        <xdr:cNvPr id="1" name="AutoShape 3"/>
        <xdr:cNvSpPr>
          <a:spLocks/>
        </xdr:cNvSpPr>
      </xdr:nvSpPr>
      <xdr:spPr>
        <a:xfrm>
          <a:off x="3705225" y="30308550"/>
          <a:ext cx="5334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1">
      <selection activeCell="F11" sqref="F11"/>
    </sheetView>
  </sheetViews>
  <sheetFormatPr defaultColWidth="9.140625" defaultRowHeight="22.5" customHeight="1"/>
  <cols>
    <col min="1" max="1" width="2.7109375" style="42" customWidth="1"/>
    <col min="2" max="2" width="52.8515625" style="42" bestFit="1" customWidth="1"/>
    <col min="3" max="3" width="18.00390625" style="42" customWidth="1"/>
    <col min="4" max="4" width="5.00390625" style="42" customWidth="1"/>
    <col min="5" max="5" width="17.7109375" style="42" bestFit="1" customWidth="1"/>
    <col min="6" max="6" width="9.140625" style="42" customWidth="1"/>
    <col min="7" max="7" width="16.421875" style="49" bestFit="1" customWidth="1"/>
    <col min="8" max="8" width="9.140625" style="42" customWidth="1"/>
    <col min="9" max="9" width="16.421875" style="49" bestFit="1" customWidth="1"/>
    <col min="10" max="16384" width="9.140625" style="42" customWidth="1"/>
  </cols>
  <sheetData>
    <row r="1" spans="2:5" ht="22.5" customHeight="1">
      <c r="B1" s="145" t="s">
        <v>32</v>
      </c>
      <c r="C1" s="145"/>
      <c r="D1" s="145"/>
      <c r="E1" s="145"/>
    </row>
    <row r="2" spans="2:5" ht="22.5" customHeight="1">
      <c r="B2" s="145" t="s">
        <v>56</v>
      </c>
      <c r="C2" s="145"/>
      <c r="D2" s="145"/>
      <c r="E2" s="145"/>
    </row>
    <row r="3" spans="2:5" ht="22.5" customHeight="1">
      <c r="B3" s="145" t="s">
        <v>309</v>
      </c>
      <c r="C3" s="145"/>
      <c r="D3" s="145"/>
      <c r="E3" s="145"/>
    </row>
    <row r="4" spans="1:5" ht="22.5" customHeight="1">
      <c r="A4" s="47" t="s">
        <v>57</v>
      </c>
      <c r="C4" s="48" t="s">
        <v>7</v>
      </c>
      <c r="E4" s="48" t="s">
        <v>58</v>
      </c>
    </row>
    <row r="5" spans="2:5" ht="22.5" customHeight="1">
      <c r="B5" s="42" t="s">
        <v>59</v>
      </c>
      <c r="C5" s="49">
        <v>10838219.26</v>
      </c>
      <c r="E5" s="49">
        <f>7118836.72+24638560.41+3217807.1+30888635.6+17668009.84+25970808.1+18728272.85+8222532.45+12461764.59+21042910.82+10838219.26</f>
        <v>180796357.73999998</v>
      </c>
    </row>
    <row r="6" spans="2:7" ht="22.5" customHeight="1">
      <c r="B6" s="42" t="s">
        <v>60</v>
      </c>
      <c r="C6" s="49">
        <v>920168.69</v>
      </c>
      <c r="E6" s="49">
        <f>4017894.62+959118.88+1552033.19+2152310.95+1117005.1+1518794.58+2008808.71+875750.2+959048.7+956848.65+920168.69</f>
        <v>17037782.27</v>
      </c>
      <c r="G6" s="129"/>
    </row>
    <row r="7" spans="2:5" ht="22.5" customHeight="1" hidden="1">
      <c r="B7" s="42" t="s">
        <v>108</v>
      </c>
      <c r="C7" s="49"/>
      <c r="E7" s="49">
        <v>0</v>
      </c>
    </row>
    <row r="8" spans="2:5" ht="22.5" customHeight="1">
      <c r="B8" s="42" t="s">
        <v>149</v>
      </c>
      <c r="C8" s="49">
        <v>1052505</v>
      </c>
      <c r="E8" s="49">
        <f>234300+949500+367744+729750+560170+1579130+913470+724378+652850+385476+1052505</f>
        <v>8149273</v>
      </c>
    </row>
    <row r="9" spans="2:5" ht="22.5" customHeight="1">
      <c r="B9" s="42" t="s">
        <v>150</v>
      </c>
      <c r="C9" s="49">
        <v>1367280</v>
      </c>
      <c r="E9" s="49">
        <f>60300+3776000+3655500+106530+1752000+11300+1744600+1637600+1337300+1367280</f>
        <v>15448410</v>
      </c>
    </row>
    <row r="10" spans="2:5" ht="22.5" customHeight="1">
      <c r="B10" s="42" t="s">
        <v>151</v>
      </c>
      <c r="C10" s="49">
        <v>12500</v>
      </c>
      <c r="E10" s="49">
        <f>15500+35500+9500+27743+22000+21000+19000+20000+20000+14625+12500</f>
        <v>217368</v>
      </c>
    </row>
    <row r="11" spans="2:5" ht="22.5" customHeight="1">
      <c r="B11" s="42" t="s">
        <v>262</v>
      </c>
      <c r="C11" s="49">
        <f>1500+7700</f>
        <v>9200</v>
      </c>
      <c r="E11" s="49">
        <f>7200+18600+8600+9200+9200+9200</f>
        <v>62000</v>
      </c>
    </row>
    <row r="12" spans="2:5" ht="22.5" customHeight="1">
      <c r="B12" s="42" t="s">
        <v>114</v>
      </c>
      <c r="C12" s="49">
        <v>4600</v>
      </c>
      <c r="E12" s="49">
        <f>450+66250+500+8959+350+4600</f>
        <v>81109</v>
      </c>
    </row>
    <row r="13" spans="2:5" ht="22.5" customHeight="1" hidden="1">
      <c r="B13" s="42" t="s">
        <v>180</v>
      </c>
      <c r="C13" s="49">
        <v>0</v>
      </c>
      <c r="E13" s="49">
        <v>0</v>
      </c>
    </row>
    <row r="14" spans="2:5" ht="22.5" customHeight="1">
      <c r="B14" s="42" t="s">
        <v>256</v>
      </c>
      <c r="C14" s="49">
        <v>11200</v>
      </c>
      <c r="E14" s="49">
        <f>17274+837+11800+11200+12037+11200+12874+12037+11200</f>
        <v>100459</v>
      </c>
    </row>
    <row r="15" spans="2:5" ht="22.5" customHeight="1">
      <c r="B15" s="42" t="s">
        <v>217</v>
      </c>
      <c r="C15" s="49">
        <v>600</v>
      </c>
      <c r="E15" s="49">
        <f>837+5948637+30500+3955400+28500+3954800+30100+1977400+1790800+5745600+600</f>
        <v>23463174</v>
      </c>
    </row>
    <row r="16" spans="2:5" ht="22.5" customHeight="1">
      <c r="B16" s="42" t="s">
        <v>271</v>
      </c>
      <c r="C16" s="49">
        <v>0</v>
      </c>
      <c r="E16" s="49">
        <v>92500</v>
      </c>
    </row>
    <row r="17" spans="2:5" ht="22.5" customHeight="1">
      <c r="B17" s="42" t="s">
        <v>218</v>
      </c>
      <c r="C17" s="49">
        <v>0</v>
      </c>
      <c r="E17" s="49">
        <f>508500+8500+677300+7000+542400+281600+271200+211200</f>
        <v>2507700</v>
      </c>
    </row>
    <row r="18" spans="2:5" ht="22.5" customHeight="1">
      <c r="B18" s="42" t="s">
        <v>214</v>
      </c>
      <c r="C18" s="49">
        <v>0</v>
      </c>
      <c r="E18" s="49">
        <v>1277895</v>
      </c>
    </row>
    <row r="19" spans="2:5" ht="22.5" customHeight="1">
      <c r="B19" s="42" t="s">
        <v>273</v>
      </c>
      <c r="C19" s="49"/>
      <c r="E19" s="49">
        <v>788000</v>
      </c>
    </row>
    <row r="20" spans="2:5" ht="19.5" customHeight="1">
      <c r="B20" s="54" t="s">
        <v>219</v>
      </c>
      <c r="C20" s="49">
        <v>34980</v>
      </c>
      <c r="E20" s="49">
        <f>102420+102420+132400+34980</f>
        <v>372220</v>
      </c>
    </row>
    <row r="21" spans="2:5" ht="19.5" customHeight="1">
      <c r="B21" s="54" t="s">
        <v>220</v>
      </c>
      <c r="C21" s="49">
        <v>54500</v>
      </c>
      <c r="E21" s="49">
        <f>163500+54500+109000+163500+54500</f>
        <v>545000</v>
      </c>
    </row>
    <row r="22" spans="2:5" ht="19.5" customHeight="1">
      <c r="B22" s="54" t="s">
        <v>222</v>
      </c>
      <c r="C22" s="49">
        <v>2725</v>
      </c>
      <c r="E22" s="49">
        <f>8175+2725+5450+8175+2725</f>
        <v>27250</v>
      </c>
    </row>
    <row r="23" spans="2:5" ht="19.5" customHeight="1">
      <c r="B23" s="54" t="s">
        <v>224</v>
      </c>
      <c r="C23" s="49"/>
      <c r="E23" s="49">
        <v>3000</v>
      </c>
    </row>
    <row r="24" spans="2:5" ht="19.5" customHeight="1" hidden="1">
      <c r="B24" s="54" t="s">
        <v>221</v>
      </c>
      <c r="C24" s="49"/>
      <c r="E24" s="49"/>
    </row>
    <row r="25" spans="2:5" ht="19.5" customHeight="1" hidden="1">
      <c r="B25" s="54" t="s">
        <v>223</v>
      </c>
      <c r="C25" s="49"/>
      <c r="E25" s="49"/>
    </row>
    <row r="26" spans="2:5" ht="19.5" customHeight="1">
      <c r="B26" s="54" t="s">
        <v>225</v>
      </c>
      <c r="C26" s="49"/>
      <c r="E26" s="49">
        <f>94500+89658+94500+37800</f>
        <v>316458</v>
      </c>
    </row>
    <row r="27" spans="2:5" ht="19.5" customHeight="1">
      <c r="B27" s="54" t="s">
        <v>294</v>
      </c>
      <c r="C27" s="49"/>
      <c r="E27" s="49">
        <v>89658</v>
      </c>
    </row>
    <row r="28" spans="2:5" ht="19.5" customHeight="1">
      <c r="B28" s="54" t="s">
        <v>226</v>
      </c>
      <c r="C28" s="49"/>
      <c r="E28" s="49">
        <f>85000+85000</f>
        <v>170000</v>
      </c>
    </row>
    <row r="29" spans="2:5" ht="19.5" customHeight="1">
      <c r="B29" s="54" t="s">
        <v>228</v>
      </c>
      <c r="C29" s="49"/>
      <c r="E29" s="49">
        <f>11925+15022+11925+13730</f>
        <v>52602</v>
      </c>
    </row>
    <row r="30" spans="2:5" ht="19.5" customHeight="1">
      <c r="B30" s="54" t="s">
        <v>296</v>
      </c>
      <c r="C30" s="49"/>
      <c r="E30" s="49">
        <f>15022+3400</f>
        <v>18422</v>
      </c>
    </row>
    <row r="31" spans="2:5" ht="19.5" customHeight="1">
      <c r="B31" s="54" t="s">
        <v>227</v>
      </c>
      <c r="C31" s="49"/>
      <c r="E31" s="49">
        <f>22950+28361+22950+13100</f>
        <v>87361</v>
      </c>
    </row>
    <row r="32" spans="2:5" ht="19.5" customHeight="1">
      <c r="B32" s="54" t="s">
        <v>264</v>
      </c>
      <c r="C32" s="49"/>
      <c r="E32" s="49">
        <f>21942+32400+18000</f>
        <v>72342</v>
      </c>
    </row>
    <row r="33" spans="2:5" ht="19.5" customHeight="1">
      <c r="B33" s="54" t="s">
        <v>297</v>
      </c>
      <c r="C33" s="49"/>
      <c r="E33" s="49">
        <f>21942+1385</f>
        <v>23327</v>
      </c>
    </row>
    <row r="34" spans="2:5" ht="19.5" customHeight="1">
      <c r="B34" s="54" t="s">
        <v>263</v>
      </c>
      <c r="C34" s="49"/>
      <c r="E34" s="49">
        <f>36132+26415+11090</f>
        <v>73637</v>
      </c>
    </row>
    <row r="35" spans="2:5" ht="19.5" customHeight="1">
      <c r="B35" s="54" t="s">
        <v>295</v>
      </c>
      <c r="C35" s="49"/>
      <c r="E35" s="49">
        <v>36132</v>
      </c>
    </row>
    <row r="36" spans="2:5" ht="19.5" customHeight="1">
      <c r="B36" s="54" t="s">
        <v>278</v>
      </c>
      <c r="C36" s="49"/>
      <c r="E36" s="49">
        <v>12870</v>
      </c>
    </row>
    <row r="37" spans="2:5" ht="19.5" customHeight="1">
      <c r="B37" s="54" t="s">
        <v>306</v>
      </c>
      <c r="C37" s="49"/>
      <c r="E37" s="49">
        <v>16900</v>
      </c>
    </row>
    <row r="38" spans="2:5" ht="19.5" customHeight="1" hidden="1">
      <c r="B38" s="54" t="s">
        <v>189</v>
      </c>
      <c r="C38" s="49"/>
      <c r="E38" s="49"/>
    </row>
    <row r="39" spans="2:5" ht="19.5" customHeight="1" hidden="1">
      <c r="B39" s="54" t="s">
        <v>188</v>
      </c>
      <c r="C39" s="49"/>
      <c r="E39" s="49"/>
    </row>
    <row r="40" spans="2:5" ht="19.5" customHeight="1" hidden="1">
      <c r="B40" s="54" t="s">
        <v>190</v>
      </c>
      <c r="C40" s="49"/>
      <c r="E40" s="49"/>
    </row>
    <row r="41" spans="2:5" ht="19.5" customHeight="1">
      <c r="B41" s="54" t="s">
        <v>290</v>
      </c>
      <c r="C41" s="49"/>
      <c r="E41" s="49">
        <f>38500+21000</f>
        <v>59500</v>
      </c>
    </row>
    <row r="42" spans="2:5" ht="19.5" customHeight="1" hidden="1">
      <c r="B42" s="54" t="s">
        <v>210</v>
      </c>
      <c r="C42" s="49"/>
      <c r="E42" s="49"/>
    </row>
    <row r="43" spans="2:5" ht="22.5" customHeight="1" hidden="1">
      <c r="B43" s="42" t="s">
        <v>183</v>
      </c>
      <c r="C43" s="49"/>
      <c r="E43" s="49"/>
    </row>
    <row r="44" spans="2:5" ht="22.5" customHeight="1">
      <c r="B44" s="42" t="s">
        <v>99</v>
      </c>
      <c r="C44" s="49">
        <f>4200+8310000+8268</f>
        <v>8322468</v>
      </c>
      <c r="E44" s="49">
        <f>4000+11.03+1163+8322468</f>
        <v>8327642.03</v>
      </c>
    </row>
    <row r="45" spans="2:5" ht="22.5" customHeight="1" hidden="1">
      <c r="B45" s="42" t="s">
        <v>202</v>
      </c>
      <c r="C45" s="49"/>
      <c r="E45" s="49"/>
    </row>
    <row r="46" spans="2:5" ht="22.5" customHeight="1" hidden="1">
      <c r="B46" s="42" t="s">
        <v>121</v>
      </c>
      <c r="C46" s="49"/>
      <c r="E46" s="49"/>
    </row>
    <row r="47" spans="2:5" ht="22.5" customHeight="1" hidden="1">
      <c r="B47" s="42" t="s">
        <v>22</v>
      </c>
      <c r="C47" s="49"/>
      <c r="E47" s="49"/>
    </row>
    <row r="48" spans="2:5" ht="22.5" customHeight="1" hidden="1">
      <c r="B48" s="42" t="s">
        <v>33</v>
      </c>
      <c r="C48" s="49"/>
      <c r="E48" s="49"/>
    </row>
    <row r="49" spans="2:5" ht="22.5" customHeight="1">
      <c r="B49" s="42" t="s">
        <v>162</v>
      </c>
      <c r="C49" s="49">
        <v>500</v>
      </c>
      <c r="E49" s="49">
        <v>500</v>
      </c>
    </row>
    <row r="50" spans="2:5" ht="22.5" customHeight="1">
      <c r="B50" s="42" t="s">
        <v>212</v>
      </c>
      <c r="C50" s="49"/>
      <c r="E50" s="49">
        <v>1680</v>
      </c>
    </row>
    <row r="51" spans="2:5" ht="22.5" customHeight="1">
      <c r="B51" s="42" t="s">
        <v>161</v>
      </c>
      <c r="C51" s="49"/>
      <c r="E51" s="49">
        <v>768.67</v>
      </c>
    </row>
    <row r="52" spans="2:5" ht="22.5" customHeight="1" hidden="1">
      <c r="B52" s="42" t="s">
        <v>154</v>
      </c>
      <c r="C52" s="49"/>
      <c r="E52" s="49"/>
    </row>
    <row r="53" spans="2:5" ht="22.5" customHeight="1" hidden="1">
      <c r="B53" s="42" t="s">
        <v>156</v>
      </c>
      <c r="C53" s="49"/>
      <c r="E53" s="49"/>
    </row>
    <row r="54" spans="1:5" ht="22.5" customHeight="1">
      <c r="A54" s="47" t="s">
        <v>57</v>
      </c>
      <c r="C54" s="48" t="s">
        <v>7</v>
      </c>
      <c r="E54" s="48" t="s">
        <v>58</v>
      </c>
    </row>
    <row r="55" spans="2:5" ht="22.5" customHeight="1" hidden="1">
      <c r="B55" s="42" t="s">
        <v>158</v>
      </c>
      <c r="C55" s="49"/>
      <c r="E55" s="49"/>
    </row>
    <row r="56" spans="2:5" ht="22.5" customHeight="1" hidden="1">
      <c r="B56" s="42" t="s">
        <v>205</v>
      </c>
      <c r="C56" s="49"/>
      <c r="E56" s="49"/>
    </row>
    <row r="57" spans="2:5" ht="22.5" customHeight="1" hidden="1">
      <c r="B57" s="42" t="s">
        <v>152</v>
      </c>
      <c r="C57" s="49"/>
      <c r="E57" s="49"/>
    </row>
    <row r="58" spans="3:5" ht="22.5" customHeight="1">
      <c r="C58" s="49"/>
      <c r="E58" s="49"/>
    </row>
    <row r="59" spans="2:5" ht="22.5" customHeight="1" thickBot="1">
      <c r="B59" s="50" t="s">
        <v>34</v>
      </c>
      <c r="C59" s="51">
        <f>SUM(C5:C58)</f>
        <v>22631445.95</v>
      </c>
      <c r="D59" s="52"/>
      <c r="E59" s="51">
        <f>SUM(E5:E56)</f>
        <v>260329297.70999998</v>
      </c>
    </row>
    <row r="60" spans="1:5" ht="22.5" customHeight="1" thickTop="1">
      <c r="A60" s="47" t="s">
        <v>13</v>
      </c>
      <c r="B60" s="52"/>
      <c r="C60" s="48" t="s">
        <v>7</v>
      </c>
      <c r="E60" s="48" t="s">
        <v>58</v>
      </c>
    </row>
    <row r="61" spans="2:5" ht="22.5" customHeight="1">
      <c r="B61" s="42" t="s">
        <v>115</v>
      </c>
      <c r="C61" s="49">
        <f>11392082.21+358079.03+1685116.87+74105+2802725.14+277985+1438448.82+1024905+707098.36+37582.71+6810947+3172600</f>
        <v>29781675.14</v>
      </c>
      <c r="E61" s="49">
        <f>5120474.58+8379995.34+12054436.7+12816215.69+11922365.88+15322592.32+24457664.81+11404894.01+12373725.63+16354000.36+29781675.14</f>
        <v>159988040.45999998</v>
      </c>
    </row>
    <row r="62" spans="2:5" ht="22.5" customHeight="1">
      <c r="B62" s="42" t="s">
        <v>168</v>
      </c>
      <c r="C62" s="49">
        <v>8310000</v>
      </c>
      <c r="E62" s="49">
        <f>11.03+8310000</f>
        <v>8310011.03</v>
      </c>
    </row>
    <row r="63" spans="2:5" ht="22.5" customHeight="1" hidden="1">
      <c r="B63" s="42" t="s">
        <v>184</v>
      </c>
      <c r="C63" s="49">
        <v>0</v>
      </c>
      <c r="E63" s="49">
        <v>0</v>
      </c>
    </row>
    <row r="64" spans="1:5" ht="22.5" customHeight="1" hidden="1">
      <c r="A64" s="47" t="s">
        <v>13</v>
      </c>
      <c r="B64" s="52"/>
      <c r="C64" s="48" t="s">
        <v>7</v>
      </c>
      <c r="E64" s="48" t="s">
        <v>58</v>
      </c>
    </row>
    <row r="65" spans="2:5" ht="22.5" customHeight="1">
      <c r="B65" s="42" t="s">
        <v>116</v>
      </c>
      <c r="C65" s="49">
        <v>1397985.69</v>
      </c>
      <c r="E65" s="49">
        <f>1154821.19+957625.82+1082922.42+1601924.76+2610916.74+847267.59+2035528.85+2346035.78+1754567.79+1126150.84+1397985.69</f>
        <v>16915747.47</v>
      </c>
    </row>
    <row r="66" spans="2:5" ht="22.5" customHeight="1">
      <c r="B66" s="124" t="s">
        <v>117</v>
      </c>
      <c r="C66" s="49"/>
      <c r="E66" s="49">
        <f>3687330+119308+1483000+5432000</f>
        <v>10721638</v>
      </c>
    </row>
    <row r="67" spans="2:5" ht="22.5" customHeight="1">
      <c r="B67" s="42" t="s">
        <v>118</v>
      </c>
      <c r="C67" s="49">
        <v>676600</v>
      </c>
      <c r="E67" s="49">
        <f>849050+452800+730804+574510+1569950+580090+1355968+876850+340276+650025+676600</f>
        <v>8656923</v>
      </c>
    </row>
    <row r="68" spans="2:5" ht="22.5" customHeight="1">
      <c r="B68" s="42" t="s">
        <v>119</v>
      </c>
      <c r="C68" s="49">
        <v>1660080</v>
      </c>
      <c r="E68" s="49">
        <f>4208900+900+10500+3339030+2157600+1745400+1637600+1665880+1660080</f>
        <v>16425890</v>
      </c>
    </row>
    <row r="69" spans="2:5" ht="22.5" customHeight="1">
      <c r="B69" s="42" t="s">
        <v>257</v>
      </c>
      <c r="C69" s="49">
        <v>19900</v>
      </c>
      <c r="E69" s="49">
        <f>7200+18600+8600+9200+9200+9200+19900</f>
        <v>81900</v>
      </c>
    </row>
    <row r="70" spans="2:5" ht="22.5" customHeight="1" hidden="1">
      <c r="B70" s="42" t="s">
        <v>171</v>
      </c>
      <c r="C70" s="49"/>
      <c r="E70" s="49"/>
    </row>
    <row r="71" spans="2:5" ht="22.5" customHeight="1" hidden="1">
      <c r="B71" s="42" t="s">
        <v>172</v>
      </c>
      <c r="C71" s="49"/>
      <c r="E71" s="49"/>
    </row>
    <row r="72" spans="2:5" ht="22.5" customHeight="1" hidden="1">
      <c r="B72" s="42" t="s">
        <v>159</v>
      </c>
      <c r="C72" s="49"/>
      <c r="E72" s="49"/>
    </row>
    <row r="73" spans="2:5" ht="22.5" customHeight="1">
      <c r="B73" s="42" t="s">
        <v>142</v>
      </c>
      <c r="C73" s="49"/>
      <c r="E73" s="49">
        <v>1203693.72</v>
      </c>
    </row>
    <row r="74" spans="2:5" ht="22.5" customHeight="1">
      <c r="B74" s="42" t="s">
        <v>121</v>
      </c>
      <c r="C74" s="49"/>
      <c r="E74" s="49">
        <v>234300</v>
      </c>
    </row>
    <row r="75" spans="2:5" ht="22.5" customHeight="1">
      <c r="B75" s="42" t="s">
        <v>22</v>
      </c>
      <c r="C75" s="49"/>
      <c r="E75" s="49">
        <f>290000+1165200.14+212255.9</f>
        <v>1667456.0399999998</v>
      </c>
    </row>
    <row r="76" spans="2:5" ht="22.5" customHeight="1">
      <c r="B76" s="42" t="s">
        <v>33</v>
      </c>
      <c r="C76" s="49"/>
      <c r="E76" s="49">
        <v>2876207</v>
      </c>
    </row>
    <row r="77" spans="2:5" ht="22.5" customHeight="1" hidden="1">
      <c r="B77" s="42" t="s">
        <v>120</v>
      </c>
      <c r="C77" s="49"/>
      <c r="E77" s="49"/>
    </row>
    <row r="78" spans="2:5" ht="22.5" customHeight="1">
      <c r="B78" s="42" t="s">
        <v>272</v>
      </c>
      <c r="C78" s="49"/>
      <c r="E78" s="49">
        <v>788000</v>
      </c>
    </row>
    <row r="79" spans="2:5" ht="22.5" customHeight="1">
      <c r="B79" s="42" t="s">
        <v>279</v>
      </c>
      <c r="C79" s="49"/>
      <c r="E79" s="49">
        <v>445637</v>
      </c>
    </row>
    <row r="80" spans="2:5" ht="22.5" customHeight="1">
      <c r="B80" s="42" t="s">
        <v>229</v>
      </c>
      <c r="C80" s="49">
        <f>499000+1285200</f>
        <v>1784200</v>
      </c>
      <c r="E80" s="49">
        <f>3679300+1879674+3695000+1816300+2336900+1304900+1813300+1792100+1784200</f>
        <v>20101674</v>
      </c>
    </row>
    <row r="81" spans="2:5" ht="22.5" customHeight="1">
      <c r="B81" s="42" t="s">
        <v>274</v>
      </c>
      <c r="C81" s="49">
        <v>0</v>
      </c>
      <c r="E81" s="49">
        <f>49500+18500</f>
        <v>68000</v>
      </c>
    </row>
    <row r="82" spans="2:5" ht="22.5" customHeight="1">
      <c r="B82" s="42" t="s">
        <v>230</v>
      </c>
      <c r="C82" s="49">
        <v>8800</v>
      </c>
      <c r="E82" s="49">
        <f>197500+763000+92500+453700+205300+395200+294400+8800</f>
        <v>2410400</v>
      </c>
    </row>
    <row r="83" spans="2:5" ht="22.5" customHeight="1">
      <c r="B83" s="42" t="s">
        <v>291</v>
      </c>
      <c r="C83" s="49"/>
      <c r="E83" s="49">
        <f>220000+925661</f>
        <v>1145661</v>
      </c>
    </row>
    <row r="84" spans="2:5" ht="22.5" customHeight="1">
      <c r="B84" s="54" t="s">
        <v>231</v>
      </c>
      <c r="C84" s="49">
        <v>34980</v>
      </c>
      <c r="E84" s="49">
        <f>68280+34140+68280+34140+61600+35820+34980+34980</f>
        <v>372220</v>
      </c>
    </row>
    <row r="85" spans="2:5" ht="22.5" customHeight="1">
      <c r="B85" s="54" t="s">
        <v>232</v>
      </c>
      <c r="C85" s="49">
        <v>40435.48</v>
      </c>
      <c r="E85" s="49">
        <f>39800+21800+5625.8+54500+32700+32700+32700+32700+32700+40435.48</f>
        <v>325661.27999999997</v>
      </c>
    </row>
    <row r="86" spans="2:5" ht="21.75" customHeight="1">
      <c r="B86" s="54" t="s">
        <v>233</v>
      </c>
      <c r="C86" s="49">
        <v>2022</v>
      </c>
      <c r="E86" s="49">
        <f>2400+680+281+2725+1635+1635+1635+3270+2022</f>
        <v>16283</v>
      </c>
    </row>
    <row r="87" spans="2:5" ht="21.75" customHeight="1" hidden="1">
      <c r="B87" s="54" t="s">
        <v>280</v>
      </c>
      <c r="C87" s="49"/>
      <c r="E87" s="49"/>
    </row>
    <row r="88" spans="2:5" ht="21.75" customHeight="1" hidden="1">
      <c r="B88" s="54" t="s">
        <v>234</v>
      </c>
      <c r="C88" s="49"/>
      <c r="E88" s="49"/>
    </row>
    <row r="89" spans="2:5" ht="21.75" customHeight="1" hidden="1">
      <c r="B89" s="54" t="s">
        <v>235</v>
      </c>
      <c r="C89" s="49"/>
      <c r="E89" s="49"/>
    </row>
    <row r="90" spans="2:5" ht="21.75" customHeight="1">
      <c r="B90" s="54" t="s">
        <v>281</v>
      </c>
      <c r="C90" s="49"/>
      <c r="E90" s="49">
        <f>89600+89658</f>
        <v>179258</v>
      </c>
    </row>
    <row r="91" spans="2:5" ht="21.75" customHeight="1">
      <c r="B91" s="54" t="s">
        <v>307</v>
      </c>
      <c r="C91" s="49"/>
      <c r="E91" s="49">
        <v>83720</v>
      </c>
    </row>
    <row r="92" spans="2:5" ht="21.75" customHeight="1">
      <c r="B92" s="54" t="s">
        <v>282</v>
      </c>
      <c r="C92" s="49"/>
      <c r="E92" s="49">
        <v>99561</v>
      </c>
    </row>
    <row r="93" spans="2:5" ht="21.75" customHeight="1">
      <c r="B93" s="54" t="s">
        <v>302</v>
      </c>
      <c r="C93" s="49"/>
      <c r="E93" s="49">
        <v>15000</v>
      </c>
    </row>
    <row r="94" spans="2:5" ht="21.75" customHeight="1">
      <c r="B94" s="54" t="s">
        <v>283</v>
      </c>
      <c r="C94" s="49"/>
      <c r="E94" s="49">
        <f>15022+23495</f>
        <v>38517</v>
      </c>
    </row>
    <row r="95" spans="2:5" ht="21.75" customHeight="1">
      <c r="B95" s="54" t="s">
        <v>284</v>
      </c>
      <c r="C95" s="49">
        <v>3000</v>
      </c>
      <c r="E95" s="49">
        <f>10150+3000</f>
        <v>13150</v>
      </c>
    </row>
    <row r="96" spans="2:5" ht="21.75" customHeight="1">
      <c r="B96" s="54" t="s">
        <v>303</v>
      </c>
      <c r="C96" s="49"/>
      <c r="E96" s="49">
        <v>21900</v>
      </c>
    </row>
    <row r="97" spans="2:5" ht="21.75" customHeight="1">
      <c r="B97" s="54" t="s">
        <v>285</v>
      </c>
      <c r="C97" s="49"/>
      <c r="E97" s="49">
        <f>21942+32400</f>
        <v>54342</v>
      </c>
    </row>
    <row r="98" spans="2:5" ht="22.5" customHeight="1">
      <c r="B98" s="54" t="s">
        <v>286</v>
      </c>
      <c r="C98" s="49"/>
      <c r="E98" s="49">
        <v>36132</v>
      </c>
    </row>
    <row r="99" spans="2:5" ht="22.5" customHeight="1" hidden="1">
      <c r="B99" s="54" t="s">
        <v>287</v>
      </c>
      <c r="C99" s="49"/>
      <c r="E99" s="49"/>
    </row>
    <row r="100" spans="2:5" ht="22.5" customHeight="1">
      <c r="B100" s="54" t="s">
        <v>181</v>
      </c>
      <c r="C100" s="49"/>
      <c r="E100" s="49">
        <v>9880</v>
      </c>
    </row>
    <row r="101" spans="2:5" ht="22.5" customHeight="1">
      <c r="B101" s="54" t="s">
        <v>182</v>
      </c>
      <c r="C101" s="49"/>
      <c r="E101" s="49">
        <v>140</v>
      </c>
    </row>
    <row r="102" spans="2:5" ht="22.5" customHeight="1">
      <c r="B102" s="54" t="s">
        <v>187</v>
      </c>
      <c r="C102" s="49"/>
      <c r="E102" s="49">
        <v>1195</v>
      </c>
    </row>
    <row r="103" spans="1:5" ht="22.5" customHeight="1">
      <c r="A103" s="47" t="s">
        <v>13</v>
      </c>
      <c r="B103" s="52"/>
      <c r="C103" s="48" t="s">
        <v>7</v>
      </c>
      <c r="E103" s="48" t="s">
        <v>58</v>
      </c>
    </row>
    <row r="104" spans="2:5" ht="22.5" customHeight="1">
      <c r="B104" s="54" t="s">
        <v>312</v>
      </c>
      <c r="C104" s="49">
        <v>16900</v>
      </c>
      <c r="E104" s="49">
        <v>16900</v>
      </c>
    </row>
    <row r="105" spans="2:5" ht="22.5" customHeight="1" hidden="1">
      <c r="B105" s="54" t="s">
        <v>191</v>
      </c>
      <c r="C105" s="49"/>
      <c r="E105" s="49"/>
    </row>
    <row r="106" spans="2:5" ht="22.5" customHeight="1" hidden="1">
      <c r="B106" s="54" t="s">
        <v>192</v>
      </c>
      <c r="C106" s="49"/>
      <c r="E106" s="49"/>
    </row>
    <row r="107" spans="2:5" ht="22.5" customHeight="1" hidden="1">
      <c r="B107" s="54" t="s">
        <v>193</v>
      </c>
      <c r="C107" s="49"/>
      <c r="E107" s="49"/>
    </row>
    <row r="108" spans="2:5" ht="22.5" customHeight="1" hidden="1">
      <c r="B108" s="54" t="s">
        <v>194</v>
      </c>
      <c r="C108" s="49"/>
      <c r="E108" s="49"/>
    </row>
    <row r="109" spans="2:5" ht="22.5" customHeight="1">
      <c r="B109" s="54" t="s">
        <v>292</v>
      </c>
      <c r="C109" s="49">
        <v>7000</v>
      </c>
      <c r="E109" s="49">
        <f>10500+21000+7000+7000</f>
        <v>45500</v>
      </c>
    </row>
    <row r="110" spans="2:5" ht="24" customHeight="1">
      <c r="B110" s="54" t="s">
        <v>211</v>
      </c>
      <c r="C110" s="49"/>
      <c r="E110" s="49">
        <v>5800</v>
      </c>
    </row>
    <row r="111" spans="2:5" ht="22.5" customHeight="1" hidden="1">
      <c r="B111" s="42" t="s">
        <v>153</v>
      </c>
      <c r="C111" s="49"/>
      <c r="E111" s="49"/>
    </row>
    <row r="112" spans="3:5" ht="22.5" customHeight="1">
      <c r="C112" s="49"/>
      <c r="E112" s="49"/>
    </row>
    <row r="113" spans="2:5" ht="22.5" customHeight="1" thickBot="1">
      <c r="B113" s="50" t="s">
        <v>34</v>
      </c>
      <c r="C113" s="51">
        <f>SUM(C61:C112)</f>
        <v>43743578.309999995</v>
      </c>
      <c r="D113" s="52"/>
      <c r="E113" s="51">
        <f>SUM(E61:E112)</f>
        <v>253376337.99999997</v>
      </c>
    </row>
    <row r="114" spans="2:5" ht="22.5" customHeight="1" thickBot="1" thickTop="1">
      <c r="B114" s="52" t="s">
        <v>62</v>
      </c>
      <c r="C114" s="53">
        <f>C59-C113</f>
        <v>-21112132.359999996</v>
      </c>
      <c r="D114" s="52"/>
      <c r="E114" s="53">
        <f>E59-E113</f>
        <v>6952959.710000008</v>
      </c>
    </row>
    <row r="115" ht="22.5" customHeight="1" thickTop="1"/>
  </sheetData>
  <sheetProtection/>
  <mergeCells count="3">
    <mergeCell ref="B1:E1"/>
    <mergeCell ref="B2:E2"/>
    <mergeCell ref="B3:E3"/>
  </mergeCells>
  <printOptions/>
  <pageMargins left="1.05" right="0.27" top="0.73" bottom="0.22" header="0.1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8"/>
  <sheetViews>
    <sheetView zoomScalePageLayoutView="0" workbookViewId="0" topLeftCell="A88">
      <selection activeCell="F87" sqref="F87"/>
    </sheetView>
  </sheetViews>
  <sheetFormatPr defaultColWidth="9.140625" defaultRowHeight="21.75"/>
  <cols>
    <col min="1" max="2" width="14.421875" style="1" customWidth="1"/>
    <col min="3" max="3" width="13.57421875" style="0" customWidth="1"/>
    <col min="4" max="4" width="15.00390625" style="0" customWidth="1"/>
    <col min="6" max="6" width="53.421875" style="0" bestFit="1" customWidth="1"/>
    <col min="7" max="7" width="14.57421875" style="1" bestFit="1" customWidth="1"/>
    <col min="8" max="8" width="13.00390625" style="0" customWidth="1"/>
    <col min="9" max="9" width="12.140625" style="0" customWidth="1"/>
    <col min="11" max="13" width="13.57421875" style="0" bestFit="1" customWidth="1"/>
  </cols>
  <sheetData>
    <row r="1" spans="1:10" ht="23.25">
      <c r="A1" s="1">
        <v>53788804.83</v>
      </c>
      <c r="C1" s="1" t="str">
        <f>TEXT(A1,"#.#0")</f>
        <v>53788804.83</v>
      </c>
      <c r="D1" s="2">
        <f>INT(C1)</f>
        <v>53788804</v>
      </c>
      <c r="E1" s="3" t="str">
        <f aca="true" t="shared" si="0" ref="E1:E58">IF(A1-INT(A1)&lt;&gt;0,RIGHT(C1,2),)</f>
        <v>83</v>
      </c>
      <c r="G1" s="1">
        <v>81853896.90000002</v>
      </c>
      <c r="H1" s="1" t="str">
        <f aca="true" t="shared" si="1" ref="H1:H59">TEXT(G1,"#.#0")</f>
        <v>81853896.90</v>
      </c>
      <c r="I1" s="2">
        <f>INT(H1)</f>
        <v>81853896</v>
      </c>
      <c r="J1" s="3" t="str">
        <f>IF(G1-INT(G1)&lt;&gt;0,RIGHT(H1,2),)</f>
        <v>90</v>
      </c>
    </row>
    <row r="2" spans="1:10" ht="23.25">
      <c r="A2" s="1">
        <f>90837.2+134345+181943.7+914826.35+4100019.1+3562100.65+841636.9+595241.92+467942.8+300762.89+674018.45</f>
        <v>11863674.96</v>
      </c>
      <c r="C2" s="1" t="str">
        <f aca="true" t="shared" si="2" ref="C2:C128">TEXT(A2,"#.#0")</f>
        <v>11863674.96</v>
      </c>
      <c r="D2" s="2">
        <f aca="true" t="shared" si="3" ref="D2:D128">INT(C2)</f>
        <v>11863674</v>
      </c>
      <c r="E2" s="3" t="str">
        <f t="shared" si="0"/>
        <v>96</v>
      </c>
      <c r="F2" s="5" t="s">
        <v>130</v>
      </c>
      <c r="G2" s="1">
        <v>674018.45</v>
      </c>
      <c r="H2" s="1" t="str">
        <f t="shared" si="1"/>
        <v>674018.45</v>
      </c>
      <c r="I2" s="2">
        <f aca="true" t="shared" si="4" ref="I2:I128">INT(H2)</f>
        <v>674018</v>
      </c>
      <c r="J2" s="3" t="str">
        <f>IF(G2-INT(G2)&lt;&gt;0,RIGHT(H2,2),)</f>
        <v>45</v>
      </c>
    </row>
    <row r="3" spans="1:10" ht="23.25">
      <c r="A3" s="1">
        <f>82569+286451+314102+337236+349713+304773+308473+314251+321298+332682+294013</f>
        <v>3245561</v>
      </c>
      <c r="C3" s="1" t="str">
        <f t="shared" si="2"/>
        <v>3245561.0</v>
      </c>
      <c r="D3" s="2">
        <f t="shared" si="3"/>
        <v>3245561</v>
      </c>
      <c r="E3" s="3">
        <f t="shared" si="0"/>
        <v>0</v>
      </c>
      <c r="F3" s="5" t="s">
        <v>131</v>
      </c>
      <c r="G3" s="1">
        <v>294013</v>
      </c>
      <c r="H3" s="1" t="str">
        <f t="shared" si="1"/>
        <v>294013.0</v>
      </c>
      <c r="I3" s="2">
        <f t="shared" si="4"/>
        <v>294013</v>
      </c>
      <c r="J3" s="3">
        <f aca="true" t="shared" si="5" ref="J3:J24">IF(G3-INT(G3)&lt;&gt;0,RIGHT(H3,2),)</f>
        <v>0</v>
      </c>
    </row>
    <row r="4" spans="1:10" ht="23.25">
      <c r="A4" s="1">
        <f>13460+13685+210884.7+198535.96+10360+43360.92+43332.96+10100+251336.83+289797.35+41942.5</f>
        <v>1126796.22</v>
      </c>
      <c r="C4" s="1" t="str">
        <f t="shared" si="2"/>
        <v>1126796.22</v>
      </c>
      <c r="D4" s="2">
        <f t="shared" si="3"/>
        <v>1126796</v>
      </c>
      <c r="E4" s="3" t="str">
        <f t="shared" si="0"/>
        <v>22</v>
      </c>
      <c r="F4" s="5" t="s">
        <v>132</v>
      </c>
      <c r="G4" s="1">
        <v>41942.5</v>
      </c>
      <c r="H4" s="1" t="str">
        <f t="shared" si="1"/>
        <v>41942.50</v>
      </c>
      <c r="I4" s="2">
        <f t="shared" si="4"/>
        <v>41942</v>
      </c>
      <c r="J4" s="3" t="str">
        <f t="shared" si="5"/>
        <v>50</v>
      </c>
    </row>
    <row r="5" spans="1:10" ht="23.25">
      <c r="A5" s="1">
        <f>135380+20880+11825+15925+40075+41348+68390+8940+18746+10469+8390.2</f>
        <v>380368.2</v>
      </c>
      <c r="C5" s="1" t="str">
        <f t="shared" si="2"/>
        <v>380368.20</v>
      </c>
      <c r="D5" s="2">
        <f t="shared" si="3"/>
        <v>380368</v>
      </c>
      <c r="E5" s="3" t="str">
        <f t="shared" si="0"/>
        <v>20</v>
      </c>
      <c r="F5" s="5" t="s">
        <v>133</v>
      </c>
      <c r="G5" s="1">
        <v>8390.2</v>
      </c>
      <c r="H5" s="1" t="str">
        <f t="shared" si="1"/>
        <v>8390.20</v>
      </c>
      <c r="I5" s="2">
        <f t="shared" si="4"/>
        <v>8390</v>
      </c>
      <c r="J5" s="3" t="str">
        <f t="shared" si="5"/>
        <v>20</v>
      </c>
    </row>
    <row r="6" spans="1:12" ht="23.25">
      <c r="A6" s="1">
        <f>6796590.52+22272259.41+2499051.7+11539874.29+13167842.74+12575804.53+15597154.99+7293999.53+11402440.96+18186507.58+9810855.11</f>
        <v>131142381.35999998</v>
      </c>
      <c r="C6" s="1" t="str">
        <f t="shared" si="2"/>
        <v>131142381.36</v>
      </c>
      <c r="D6" s="2">
        <f t="shared" si="3"/>
        <v>131142381</v>
      </c>
      <c r="E6" s="3" t="str">
        <f t="shared" si="0"/>
        <v>36</v>
      </c>
      <c r="F6" s="5" t="s">
        <v>134</v>
      </c>
      <c r="G6" s="1">
        <v>9810855.11</v>
      </c>
      <c r="H6" s="1" t="str">
        <f t="shared" si="1"/>
        <v>9810855.11</v>
      </c>
      <c r="I6" s="2">
        <f t="shared" si="4"/>
        <v>9810855</v>
      </c>
      <c r="J6" s="3" t="str">
        <f t="shared" si="5"/>
        <v>11</v>
      </c>
      <c r="L6" s="1"/>
    </row>
    <row r="7" spans="1:12" ht="23.25">
      <c r="A7" s="1">
        <f>1910940+17882238+9443421+1869285+1922692+9000</f>
        <v>33037576</v>
      </c>
      <c r="C7" s="1" t="str">
        <f t="shared" si="2"/>
        <v>33037576.0</v>
      </c>
      <c r="D7" s="2">
        <f t="shared" si="3"/>
        <v>33037576</v>
      </c>
      <c r="E7" s="3">
        <f t="shared" si="0"/>
        <v>0</v>
      </c>
      <c r="F7" s="5" t="s">
        <v>143</v>
      </c>
      <c r="G7" s="1">
        <v>9000</v>
      </c>
      <c r="H7" s="1" t="str">
        <f t="shared" si="1"/>
        <v>9000.0</v>
      </c>
      <c r="I7" s="2">
        <f t="shared" si="4"/>
        <v>9000</v>
      </c>
      <c r="J7" s="3">
        <f t="shared" si="5"/>
        <v>0</v>
      </c>
      <c r="K7" s="128"/>
      <c r="L7" s="128">
        <f>SUM(G2:G7)</f>
        <v>10838219.26</v>
      </c>
    </row>
    <row r="8" spans="1:10" ht="23.25">
      <c r="A8" s="1">
        <f>450+66250+500+8959+350+4600</f>
        <v>81109</v>
      </c>
      <c r="C8" s="1" t="str">
        <f t="shared" si="2"/>
        <v>81109.0</v>
      </c>
      <c r="D8" s="2">
        <f t="shared" si="3"/>
        <v>81109</v>
      </c>
      <c r="E8" s="3">
        <f t="shared" si="0"/>
        <v>0</v>
      </c>
      <c r="F8" s="5" t="s">
        <v>61</v>
      </c>
      <c r="G8" s="1">
        <v>4600</v>
      </c>
      <c r="H8" s="1" t="str">
        <f t="shared" si="1"/>
        <v>4600.0</v>
      </c>
      <c r="I8" s="2">
        <f t="shared" si="4"/>
        <v>4600</v>
      </c>
      <c r="J8" s="3">
        <f t="shared" si="5"/>
        <v>0</v>
      </c>
    </row>
    <row r="9" spans="3:10" ht="23.25">
      <c r="C9" s="1" t="str">
        <f t="shared" si="2"/>
        <v>.0</v>
      </c>
      <c r="D9" s="2">
        <f t="shared" si="3"/>
        <v>0</v>
      </c>
      <c r="E9" s="3">
        <f t="shared" si="0"/>
        <v>0</v>
      </c>
      <c r="F9" s="5" t="s">
        <v>135</v>
      </c>
      <c r="H9" s="1" t="str">
        <f t="shared" si="1"/>
        <v>.0</v>
      </c>
      <c r="I9" s="2">
        <f t="shared" si="4"/>
        <v>0</v>
      </c>
      <c r="J9" s="3">
        <f t="shared" si="5"/>
        <v>0</v>
      </c>
    </row>
    <row r="10" spans="1:10" ht="23.25">
      <c r="A10" s="1">
        <f>15500+35500+9500+27743+22000+21000+19000+20000+20000+14625+12500</f>
        <v>217368</v>
      </c>
      <c r="C10" s="1" t="str">
        <f t="shared" si="2"/>
        <v>217368.0</v>
      </c>
      <c r="D10" s="2">
        <f t="shared" si="3"/>
        <v>217368</v>
      </c>
      <c r="E10" s="3">
        <f t="shared" si="0"/>
        <v>0</v>
      </c>
      <c r="F10" s="5" t="s">
        <v>136</v>
      </c>
      <c r="G10" s="1">
        <v>12500</v>
      </c>
      <c r="H10" s="1" t="str">
        <f t="shared" si="1"/>
        <v>12500.0</v>
      </c>
      <c r="I10" s="2">
        <f t="shared" si="4"/>
        <v>12500</v>
      </c>
      <c r="J10" s="3">
        <f t="shared" si="5"/>
        <v>0</v>
      </c>
    </row>
    <row r="11" spans="1:10" ht="23.25">
      <c r="A11" s="1">
        <f>234300+949500+367744+729750+560170+1579130+913470+724378+652850+385476+1052505</f>
        <v>8149273</v>
      </c>
      <c r="C11" s="1" t="str">
        <f t="shared" si="2"/>
        <v>8149273.0</v>
      </c>
      <c r="D11" s="2">
        <f t="shared" si="3"/>
        <v>8149273</v>
      </c>
      <c r="E11" s="3">
        <f t="shared" si="0"/>
        <v>0</v>
      </c>
      <c r="F11" s="5" t="s">
        <v>137</v>
      </c>
      <c r="G11" s="119">
        <v>1052505</v>
      </c>
      <c r="H11" s="1" t="str">
        <f t="shared" si="1"/>
        <v>1052505.0</v>
      </c>
      <c r="I11" s="2">
        <f t="shared" si="4"/>
        <v>1052505</v>
      </c>
      <c r="J11" s="3">
        <f t="shared" si="5"/>
        <v>0</v>
      </c>
    </row>
    <row r="12" spans="1:10" ht="23.25">
      <c r="A12" s="1">
        <f>60300+3776000+3655500+106530+1752000+11300+1744600+1637600+1337300+1367280</f>
        <v>15448410</v>
      </c>
      <c r="C12" s="1" t="str">
        <f t="shared" si="2"/>
        <v>15448410.0</v>
      </c>
      <c r="D12" s="2">
        <f t="shared" si="3"/>
        <v>15448410</v>
      </c>
      <c r="E12" s="3">
        <f t="shared" si="0"/>
        <v>0</v>
      </c>
      <c r="F12" s="5" t="s">
        <v>138</v>
      </c>
      <c r="G12" s="1">
        <v>1367280</v>
      </c>
      <c r="H12" s="1" t="str">
        <f t="shared" si="1"/>
        <v>1367280.0</v>
      </c>
      <c r="I12" s="2">
        <f t="shared" si="4"/>
        <v>1367280</v>
      </c>
      <c r="J12" s="3">
        <f t="shared" si="5"/>
        <v>0</v>
      </c>
    </row>
    <row r="13" spans="1:10" ht="23.25">
      <c r="A13" s="1">
        <f>7200+18600+8600+9200+9200+9200</f>
        <v>62000</v>
      </c>
      <c r="C13" s="1" t="str">
        <f>TEXT(A13,"#.#0")</f>
        <v>62000.0</v>
      </c>
      <c r="D13" s="2">
        <f t="shared" si="3"/>
        <v>62000</v>
      </c>
      <c r="E13" s="3">
        <f>IF(A13-INT(A13)&lt;&gt;0,RIGHT(C13,2),)</f>
        <v>0</v>
      </c>
      <c r="F13" s="5" t="s">
        <v>203</v>
      </c>
      <c r="G13" s="1">
        <v>9200</v>
      </c>
      <c r="H13" s="1" t="str">
        <f t="shared" si="1"/>
        <v>9200.0</v>
      </c>
      <c r="I13" s="2">
        <f t="shared" si="4"/>
        <v>9200</v>
      </c>
      <c r="J13" s="3">
        <f>IF(G13-INT(G13)&lt;&gt;0,RIGHT(H13,2),)</f>
        <v>0</v>
      </c>
    </row>
    <row r="14" spans="3:10" ht="23.25">
      <c r="C14" s="1" t="str">
        <f t="shared" si="2"/>
        <v>.0</v>
      </c>
      <c r="D14" s="2">
        <f t="shared" si="3"/>
        <v>0</v>
      </c>
      <c r="E14" s="3">
        <f t="shared" si="0"/>
        <v>0</v>
      </c>
      <c r="F14" s="5" t="s">
        <v>108</v>
      </c>
      <c r="H14" s="1" t="str">
        <f>TEXT(G14,"#.#0")</f>
        <v>.0</v>
      </c>
      <c r="I14" s="2">
        <f t="shared" si="4"/>
        <v>0</v>
      </c>
      <c r="J14" s="3">
        <f>IF(G14-INT(G14)&lt;&gt;0,RIGHT(H14,2),)</f>
        <v>0</v>
      </c>
    </row>
    <row r="15" spans="1:10" ht="23.25">
      <c r="A15" s="1">
        <f>4017894.62+959118.88+1552033.19+2152310.95+1117005.1+1518794.58+2008808.71+875750.2+959048.7+956848.65+920168.69</f>
        <v>17037782.27</v>
      </c>
      <c r="C15" s="1" t="str">
        <f t="shared" si="2"/>
        <v>17037782.27</v>
      </c>
      <c r="D15" s="2">
        <f t="shared" si="3"/>
        <v>17037782</v>
      </c>
      <c r="E15" s="3" t="str">
        <f t="shared" si="0"/>
        <v>27</v>
      </c>
      <c r="F15" s="5" t="s">
        <v>11</v>
      </c>
      <c r="G15" s="1">
        <v>920168.69</v>
      </c>
      <c r="H15" s="1" t="str">
        <f>TEXT(G15,"#.#0")</f>
        <v>920168.69</v>
      </c>
      <c r="I15" s="2">
        <f t="shared" si="4"/>
        <v>920168</v>
      </c>
      <c r="J15" s="3" t="str">
        <f>IF(G15-INT(G15)&lt;&gt;0,RIGHT(H15,2),)</f>
        <v>69</v>
      </c>
    </row>
    <row r="16" spans="1:10" ht="23.25">
      <c r="A16" s="1">
        <f>4000+11.03+1163+8322468</f>
        <v>8327642.03</v>
      </c>
      <c r="C16" s="1" t="str">
        <f t="shared" si="2"/>
        <v>8327642.03</v>
      </c>
      <c r="D16" s="2">
        <f t="shared" si="3"/>
        <v>8327642</v>
      </c>
      <c r="E16" s="3" t="str">
        <f t="shared" si="0"/>
        <v>03</v>
      </c>
      <c r="F16" s="8" t="s">
        <v>12</v>
      </c>
      <c r="G16" s="1">
        <v>8322468</v>
      </c>
      <c r="H16" s="1" t="str">
        <f t="shared" si="1"/>
        <v>8322468.0</v>
      </c>
      <c r="I16" s="2">
        <f t="shared" si="4"/>
        <v>8322468</v>
      </c>
      <c r="J16" s="3">
        <f t="shared" si="5"/>
        <v>0</v>
      </c>
    </row>
    <row r="17" spans="3:10" ht="23.25">
      <c r="C17" s="1" t="str">
        <f>TEXT(A17,"#.#0")</f>
        <v>.0</v>
      </c>
      <c r="D17" s="2">
        <f t="shared" si="3"/>
        <v>0</v>
      </c>
      <c r="E17" s="3">
        <f>IF(A17-INT(A17)&lt;&gt;0,RIGHT(C17,2),)</f>
        <v>0</v>
      </c>
      <c r="F17" s="8" t="s">
        <v>204</v>
      </c>
      <c r="H17" s="1" t="str">
        <f t="shared" si="1"/>
        <v>.0</v>
      </c>
      <c r="I17" s="2">
        <f t="shared" si="4"/>
        <v>0</v>
      </c>
      <c r="J17" s="3">
        <f>IF(G17-INT(G17)&lt;&gt;0,RIGHT(H17,2),)</f>
        <v>0</v>
      </c>
    </row>
    <row r="18" spans="1:10" ht="23.25">
      <c r="A18" s="1">
        <f>17274+837+11800+11200+12037+11200+12874+12037+11200</f>
        <v>100459</v>
      </c>
      <c r="C18" s="1" t="str">
        <f>TEXT(A18,"#.#0")</f>
        <v>100459.0</v>
      </c>
      <c r="D18" s="2">
        <f t="shared" si="3"/>
        <v>100459</v>
      </c>
      <c r="E18" s="3">
        <f>IF(A18-INT(A18)&lt;&gt;0,RIGHT(C18,2),)</f>
        <v>0</v>
      </c>
      <c r="F18" s="8" t="s">
        <v>258</v>
      </c>
      <c r="G18" s="1">
        <v>11200</v>
      </c>
      <c r="H18" s="1" t="str">
        <f t="shared" si="1"/>
        <v>11200.0</v>
      </c>
      <c r="I18" s="2">
        <f t="shared" si="4"/>
        <v>11200</v>
      </c>
      <c r="J18" s="3">
        <f>IF(G18-INT(G18)&lt;&gt;0,RIGHT(H18,2),)</f>
        <v>0</v>
      </c>
    </row>
    <row r="19" spans="1:10" ht="23.25">
      <c r="A19" s="1">
        <f>837+5948637+30500+3955400+28500+3954800+30100+1977400+1790800+5745600+600</f>
        <v>23463174</v>
      </c>
      <c r="C19" s="1" t="str">
        <f t="shared" si="2"/>
        <v>23463174.0</v>
      </c>
      <c r="D19" s="2">
        <f t="shared" si="3"/>
        <v>23463174</v>
      </c>
      <c r="E19" s="3">
        <f t="shared" si="0"/>
        <v>0</v>
      </c>
      <c r="F19" s="8" t="s">
        <v>236</v>
      </c>
      <c r="G19" s="1">
        <v>600</v>
      </c>
      <c r="H19" s="1" t="str">
        <f t="shared" si="1"/>
        <v>600.0</v>
      </c>
      <c r="I19" s="2">
        <f t="shared" si="4"/>
        <v>600</v>
      </c>
      <c r="J19" s="3">
        <f t="shared" si="5"/>
        <v>0</v>
      </c>
    </row>
    <row r="20" spans="1:10" ht="23.25">
      <c r="A20" s="1">
        <v>92500</v>
      </c>
      <c r="C20" s="1" t="str">
        <f>TEXT(A20,"#.#0")</f>
        <v>92500.0</v>
      </c>
      <c r="D20" s="2">
        <f t="shared" si="3"/>
        <v>92500</v>
      </c>
      <c r="E20" s="3">
        <f>IF(A20-INT(A20)&lt;&gt;0,RIGHT(C20,2),)</f>
        <v>0</v>
      </c>
      <c r="F20" s="8" t="s">
        <v>275</v>
      </c>
      <c r="H20" s="1" t="str">
        <f t="shared" si="1"/>
        <v>.0</v>
      </c>
      <c r="I20" s="2">
        <f t="shared" si="4"/>
        <v>0</v>
      </c>
      <c r="J20" s="3">
        <f>IF(G20-INT(G20)&lt;&gt;0,RIGHT(H20,2),)</f>
        <v>0</v>
      </c>
    </row>
    <row r="21" spans="1:10" ht="23.25">
      <c r="A21" s="1">
        <f>508500+8500+677300+7000+542400+281600+271200+211200</f>
        <v>2507700</v>
      </c>
      <c r="C21" s="1" t="str">
        <f t="shared" si="2"/>
        <v>2507700.0</v>
      </c>
      <c r="D21" s="2">
        <f t="shared" si="3"/>
        <v>2507700</v>
      </c>
      <c r="E21" s="3">
        <f t="shared" si="0"/>
        <v>0</v>
      </c>
      <c r="F21" s="8" t="s">
        <v>237</v>
      </c>
      <c r="H21" s="1" t="str">
        <f t="shared" si="1"/>
        <v>.0</v>
      </c>
      <c r="I21" s="2">
        <f t="shared" si="4"/>
        <v>0</v>
      </c>
      <c r="J21" s="3">
        <f t="shared" si="5"/>
        <v>0</v>
      </c>
    </row>
    <row r="22" spans="1:10" ht="23.25">
      <c r="A22" s="1">
        <v>1277895</v>
      </c>
      <c r="C22" s="1" t="str">
        <f>TEXT(A22,"#.#0")</f>
        <v>1277895.0</v>
      </c>
      <c r="D22" s="2">
        <f t="shared" si="3"/>
        <v>1277895</v>
      </c>
      <c r="E22" s="3">
        <f>IF(A22-INT(A22)&lt;&gt;0,RIGHT(C22,2),)</f>
        <v>0</v>
      </c>
      <c r="F22" s="8" t="s">
        <v>215</v>
      </c>
      <c r="H22" s="1" t="str">
        <f t="shared" si="1"/>
        <v>.0</v>
      </c>
      <c r="I22" s="2">
        <f t="shared" si="4"/>
        <v>0</v>
      </c>
      <c r="J22" s="3">
        <f>IF(G22-INT(G22)&lt;&gt;0,RIGHT(H22,2),)</f>
        <v>0</v>
      </c>
    </row>
    <row r="23" spans="1:10" ht="23.25">
      <c r="A23" s="1">
        <v>788000</v>
      </c>
      <c r="C23" s="1" t="str">
        <f>TEXT(A23,"#.#0")</f>
        <v>788000.0</v>
      </c>
      <c r="D23" s="2">
        <f t="shared" si="3"/>
        <v>788000</v>
      </c>
      <c r="E23" s="3">
        <f>IF(A23-INT(A23)&lt;&gt;0,RIGHT(C23,2),)</f>
        <v>0</v>
      </c>
      <c r="F23" s="8" t="s">
        <v>276</v>
      </c>
      <c r="H23" s="1" t="str">
        <f t="shared" si="1"/>
        <v>.0</v>
      </c>
      <c r="I23" s="2">
        <f t="shared" si="4"/>
        <v>0</v>
      </c>
      <c r="J23" s="3">
        <f>IF(G23-INT(G23)&lt;&gt;0,RIGHT(H23,2),)</f>
        <v>0</v>
      </c>
    </row>
    <row r="24" spans="1:10" ht="23.25">
      <c r="A24" s="1">
        <f>102420+102420+132400+34980</f>
        <v>372220</v>
      </c>
      <c r="C24" s="1" t="str">
        <f t="shared" si="2"/>
        <v>372220.0</v>
      </c>
      <c r="D24" s="2">
        <f t="shared" si="3"/>
        <v>372220</v>
      </c>
      <c r="E24" s="3">
        <f t="shared" si="0"/>
        <v>0</v>
      </c>
      <c r="F24" s="8" t="s">
        <v>238</v>
      </c>
      <c r="G24" s="1">
        <v>34980</v>
      </c>
      <c r="H24" s="1" t="str">
        <f t="shared" si="1"/>
        <v>34980.0</v>
      </c>
      <c r="I24" s="2">
        <f t="shared" si="4"/>
        <v>34980</v>
      </c>
      <c r="J24" s="3">
        <f t="shared" si="5"/>
        <v>0</v>
      </c>
    </row>
    <row r="25" spans="1:10" ht="23.25">
      <c r="A25" s="1">
        <f>163500+54500+109000+163500+54500</f>
        <v>545000</v>
      </c>
      <c r="C25" s="1" t="str">
        <f t="shared" si="2"/>
        <v>545000.0</v>
      </c>
      <c r="D25" s="2">
        <f t="shared" si="3"/>
        <v>545000</v>
      </c>
      <c r="E25" s="3">
        <f t="shared" si="0"/>
        <v>0</v>
      </c>
      <c r="F25" s="8" t="s">
        <v>239</v>
      </c>
      <c r="G25" s="1">
        <v>54500</v>
      </c>
      <c r="H25" s="1" t="str">
        <f t="shared" si="1"/>
        <v>54500.0</v>
      </c>
      <c r="I25" s="2">
        <f t="shared" si="4"/>
        <v>54500</v>
      </c>
      <c r="J25" s="3">
        <f aca="true" t="shared" si="6" ref="J25:J35">IF(G25-INT(G25)&lt;&gt;0,RIGHT(H25,2),)</f>
        <v>0</v>
      </c>
    </row>
    <row r="26" spans="1:10" ht="23.25">
      <c r="A26" s="1">
        <f>8175+2725+5450+8175+2725</f>
        <v>27250</v>
      </c>
      <c r="C26" s="1" t="str">
        <f t="shared" si="2"/>
        <v>27250.0</v>
      </c>
      <c r="D26" s="2">
        <f t="shared" si="3"/>
        <v>27250</v>
      </c>
      <c r="E26" s="3">
        <f t="shared" si="0"/>
        <v>0</v>
      </c>
      <c r="F26" s="8" t="s">
        <v>240</v>
      </c>
      <c r="G26" s="1">
        <v>2725</v>
      </c>
      <c r="H26" s="1" t="str">
        <f t="shared" si="1"/>
        <v>2725.0</v>
      </c>
      <c r="I26" s="2">
        <f t="shared" si="4"/>
        <v>2725</v>
      </c>
      <c r="J26" s="3">
        <f t="shared" si="6"/>
        <v>0</v>
      </c>
    </row>
    <row r="27" spans="3:10" ht="23.25">
      <c r="C27" s="1" t="str">
        <f t="shared" si="2"/>
        <v>.0</v>
      </c>
      <c r="D27" s="2">
        <f t="shared" si="3"/>
        <v>0</v>
      </c>
      <c r="E27" s="3">
        <f t="shared" si="0"/>
        <v>0</v>
      </c>
      <c r="F27" s="8" t="s">
        <v>241</v>
      </c>
      <c r="H27" s="1" t="str">
        <f t="shared" si="1"/>
        <v>.0</v>
      </c>
      <c r="I27" s="2">
        <f t="shared" si="4"/>
        <v>0</v>
      </c>
      <c r="J27" s="3">
        <f t="shared" si="6"/>
        <v>0</v>
      </c>
    </row>
    <row r="28" spans="3:10" ht="23.25">
      <c r="C28" s="1" t="str">
        <f>TEXT(A28,"#.#0")</f>
        <v>.0</v>
      </c>
      <c r="D28" s="2">
        <f t="shared" si="3"/>
        <v>0</v>
      </c>
      <c r="E28" s="3">
        <f>IF(A28-INT(A28)&lt;&gt;0,RIGHT(C28,2),)</f>
        <v>0</v>
      </c>
      <c r="F28" s="8" t="s">
        <v>242</v>
      </c>
      <c r="H28" s="1" t="str">
        <f t="shared" si="1"/>
        <v>.0</v>
      </c>
      <c r="I28" s="2">
        <f t="shared" si="4"/>
        <v>0</v>
      </c>
      <c r="J28" s="3">
        <f t="shared" si="6"/>
        <v>0</v>
      </c>
    </row>
    <row r="29" spans="1:10" ht="23.25">
      <c r="A29" s="1">
        <v>3000</v>
      </c>
      <c r="C29" s="1" t="str">
        <f aca="true" t="shared" si="7" ref="C29:C44">TEXT(A29,"#.#0")</f>
        <v>3000.0</v>
      </c>
      <c r="D29" s="2">
        <f aca="true" t="shared" si="8" ref="D29:D46">INT(C29)</f>
        <v>3000</v>
      </c>
      <c r="E29" s="3">
        <f t="shared" si="0"/>
        <v>0</v>
      </c>
      <c r="F29" s="8" t="s">
        <v>243</v>
      </c>
      <c r="H29" s="1" t="str">
        <f aca="true" t="shared" si="9" ref="H29:H46">TEXT(G29,"#.#0")</f>
        <v>.0</v>
      </c>
      <c r="I29" s="2">
        <f aca="true" t="shared" si="10" ref="I29:I46">INT(H29)</f>
        <v>0</v>
      </c>
      <c r="J29" s="3">
        <f t="shared" si="6"/>
        <v>0</v>
      </c>
    </row>
    <row r="30" spans="1:10" ht="23.25">
      <c r="A30" s="1">
        <f>94500+89658+94500+37800</f>
        <v>316458</v>
      </c>
      <c r="C30" s="1" t="str">
        <f t="shared" si="7"/>
        <v>316458.0</v>
      </c>
      <c r="D30" s="2">
        <f t="shared" si="8"/>
        <v>316458</v>
      </c>
      <c r="E30" s="3">
        <f t="shared" si="0"/>
        <v>0</v>
      </c>
      <c r="F30" s="8" t="s">
        <v>244</v>
      </c>
      <c r="H30" s="1" t="str">
        <f t="shared" si="9"/>
        <v>.0</v>
      </c>
      <c r="I30" s="2">
        <f t="shared" si="10"/>
        <v>0</v>
      </c>
      <c r="J30" s="3">
        <f t="shared" si="6"/>
        <v>0</v>
      </c>
    </row>
    <row r="31" spans="1:10" ht="23.25">
      <c r="A31" s="1">
        <v>89658</v>
      </c>
      <c r="C31" s="1" t="str">
        <f>TEXT(A31,"#.#0")</f>
        <v>89658.0</v>
      </c>
      <c r="D31" s="2">
        <f t="shared" si="8"/>
        <v>89658</v>
      </c>
      <c r="E31" s="3">
        <f>IF(A31-INT(A31)&lt;&gt;0,RIGHT(C31,2),)</f>
        <v>0</v>
      </c>
      <c r="F31" s="8" t="s">
        <v>298</v>
      </c>
      <c r="H31" s="1" t="str">
        <f t="shared" si="9"/>
        <v>.0</v>
      </c>
      <c r="I31" s="2">
        <f t="shared" si="10"/>
        <v>0</v>
      </c>
      <c r="J31" s="3">
        <f t="shared" si="6"/>
        <v>0</v>
      </c>
    </row>
    <row r="32" spans="1:10" ht="23.25">
      <c r="A32" s="1">
        <f>85000+85000</f>
        <v>170000</v>
      </c>
      <c r="C32" s="1" t="str">
        <f>TEXT(A32,"#.#0")</f>
        <v>170000.0</v>
      </c>
      <c r="D32" s="2">
        <f t="shared" si="8"/>
        <v>170000</v>
      </c>
      <c r="E32" s="3">
        <f>IF(A32-INT(A32)&lt;&gt;0,RIGHT(C32,2),)</f>
        <v>0</v>
      </c>
      <c r="F32" s="8" t="s">
        <v>245</v>
      </c>
      <c r="H32" s="1" t="str">
        <f t="shared" si="9"/>
        <v>.0</v>
      </c>
      <c r="I32" s="2">
        <f t="shared" si="10"/>
        <v>0</v>
      </c>
      <c r="J32" s="3">
        <f t="shared" si="6"/>
        <v>0</v>
      </c>
    </row>
    <row r="33" spans="1:10" ht="23.25">
      <c r="A33" s="1">
        <f>11925+15022+11925+13730</f>
        <v>52602</v>
      </c>
      <c r="C33" s="1" t="str">
        <f t="shared" si="7"/>
        <v>52602.0</v>
      </c>
      <c r="D33" s="2">
        <f t="shared" si="8"/>
        <v>52602</v>
      </c>
      <c r="E33" s="3">
        <f t="shared" si="0"/>
        <v>0</v>
      </c>
      <c r="F33" s="8" t="s">
        <v>246</v>
      </c>
      <c r="H33" s="1" t="str">
        <f t="shared" si="9"/>
        <v>.0</v>
      </c>
      <c r="I33" s="2">
        <f t="shared" si="10"/>
        <v>0</v>
      </c>
      <c r="J33" s="3">
        <f t="shared" si="6"/>
        <v>0</v>
      </c>
    </row>
    <row r="34" spans="1:10" ht="23.25">
      <c r="A34" s="1">
        <f>15022+3400</f>
        <v>18422</v>
      </c>
      <c r="C34" s="1" t="str">
        <f>TEXT(A34,"#.#0")</f>
        <v>18422.0</v>
      </c>
      <c r="D34" s="2">
        <f t="shared" si="8"/>
        <v>18422</v>
      </c>
      <c r="E34" s="3">
        <f>IF(A34-INT(A34)&lt;&gt;0,RIGHT(C34,2),)</f>
        <v>0</v>
      </c>
      <c r="F34" s="8" t="s">
        <v>299</v>
      </c>
      <c r="H34" s="1" t="str">
        <f t="shared" si="9"/>
        <v>.0</v>
      </c>
      <c r="I34" s="2">
        <f t="shared" si="10"/>
        <v>0</v>
      </c>
      <c r="J34" s="3">
        <f t="shared" si="6"/>
        <v>0</v>
      </c>
    </row>
    <row r="35" spans="1:10" ht="23.25">
      <c r="A35" s="1">
        <f>22950+28361+22950+13100</f>
        <v>87361</v>
      </c>
      <c r="C35" s="1" t="str">
        <f t="shared" si="7"/>
        <v>87361.0</v>
      </c>
      <c r="D35" s="2">
        <f t="shared" si="8"/>
        <v>87361</v>
      </c>
      <c r="E35" s="3">
        <f t="shared" si="0"/>
        <v>0</v>
      </c>
      <c r="F35" s="8" t="s">
        <v>247</v>
      </c>
      <c r="H35" s="1" t="str">
        <f t="shared" si="9"/>
        <v>.0</v>
      </c>
      <c r="I35" s="2">
        <f t="shared" si="10"/>
        <v>0</v>
      </c>
      <c r="J35" s="3">
        <f t="shared" si="6"/>
        <v>0</v>
      </c>
    </row>
    <row r="36" spans="1:10" ht="23.25">
      <c r="A36" s="1">
        <f>21942+32400+18000</f>
        <v>72342</v>
      </c>
      <c r="C36" s="1" t="str">
        <f t="shared" si="7"/>
        <v>72342.0</v>
      </c>
      <c r="D36" s="2">
        <f t="shared" si="8"/>
        <v>72342</v>
      </c>
      <c r="E36" s="3">
        <f t="shared" si="0"/>
        <v>0</v>
      </c>
      <c r="F36" s="8" t="s">
        <v>248</v>
      </c>
      <c r="H36" s="1" t="str">
        <f t="shared" si="9"/>
        <v>.0</v>
      </c>
      <c r="I36" s="2">
        <f t="shared" si="10"/>
        <v>0</v>
      </c>
      <c r="J36" s="3">
        <f aca="true" t="shared" si="11" ref="J36:J44">IF(G36-INT(G36)&lt;&gt;0,RIGHT(H36,2),)</f>
        <v>0</v>
      </c>
    </row>
    <row r="37" spans="1:10" ht="23.25">
      <c r="A37" s="1">
        <f>21942+1385</f>
        <v>23327</v>
      </c>
      <c r="C37" s="1" t="str">
        <f>TEXT(A37,"#.#0")</f>
        <v>23327.0</v>
      </c>
      <c r="D37" s="2">
        <f t="shared" si="8"/>
        <v>23327</v>
      </c>
      <c r="E37" s="3">
        <f>IF(A37-INT(A37)&lt;&gt;0,RIGHT(C37,2),)</f>
        <v>0</v>
      </c>
      <c r="F37" s="8" t="s">
        <v>300</v>
      </c>
      <c r="H37" s="1" t="str">
        <f t="shared" si="9"/>
        <v>.0</v>
      </c>
      <c r="I37" s="2">
        <f t="shared" si="10"/>
        <v>0</v>
      </c>
      <c r="J37" s="3">
        <f>IF(G37-INT(G37)&lt;&gt;0,RIGHT(H37,2),)</f>
        <v>0</v>
      </c>
    </row>
    <row r="38" spans="1:10" ht="23.25">
      <c r="A38" s="1">
        <f>36132+26415+11090</f>
        <v>73637</v>
      </c>
      <c r="C38" s="1" t="str">
        <f t="shared" si="7"/>
        <v>73637.0</v>
      </c>
      <c r="D38" s="2">
        <f t="shared" si="8"/>
        <v>73637</v>
      </c>
      <c r="E38" s="3">
        <f t="shared" si="0"/>
        <v>0</v>
      </c>
      <c r="F38" s="8" t="s">
        <v>265</v>
      </c>
      <c r="H38" s="1" t="str">
        <f t="shared" si="9"/>
        <v>.0</v>
      </c>
      <c r="I38" s="2">
        <f t="shared" si="10"/>
        <v>0</v>
      </c>
      <c r="J38" s="3">
        <f t="shared" si="11"/>
        <v>0</v>
      </c>
    </row>
    <row r="39" spans="1:10" ht="23.25">
      <c r="A39" s="1">
        <v>36132</v>
      </c>
      <c r="C39" s="1" t="str">
        <f>TEXT(A39,"#.#0")</f>
        <v>36132.0</v>
      </c>
      <c r="D39" s="2">
        <f t="shared" si="8"/>
        <v>36132</v>
      </c>
      <c r="E39" s="3">
        <f>IF(A39-INT(A39)&lt;&gt;0,RIGHT(C39,2),)</f>
        <v>0</v>
      </c>
      <c r="F39" s="8" t="s">
        <v>270</v>
      </c>
      <c r="H39" s="1" t="str">
        <f t="shared" si="9"/>
        <v>.0</v>
      </c>
      <c r="I39" s="2">
        <f t="shared" si="10"/>
        <v>0</v>
      </c>
      <c r="J39" s="3">
        <f>IF(G39-INT(G39)&lt;&gt;0,RIGHT(H39,2),)</f>
        <v>0</v>
      </c>
    </row>
    <row r="40" spans="1:10" ht="23.25">
      <c r="A40" s="1">
        <v>12870</v>
      </c>
      <c r="C40" s="1" t="str">
        <f>TEXT(A40,"#.#0")</f>
        <v>12870.0</v>
      </c>
      <c r="D40" s="2">
        <f t="shared" si="8"/>
        <v>12870</v>
      </c>
      <c r="E40" s="3">
        <f>IF(A40-INT(A40)&lt;&gt;0,RIGHT(C40,2),)</f>
        <v>0</v>
      </c>
      <c r="F40" s="8" t="s">
        <v>288</v>
      </c>
      <c r="H40" s="1" t="str">
        <f t="shared" si="9"/>
        <v>.0</v>
      </c>
      <c r="I40" s="2">
        <f t="shared" si="10"/>
        <v>0</v>
      </c>
      <c r="J40" s="3">
        <f>IF(G40-INT(G40)&lt;&gt;0,RIGHT(H40,2),)</f>
        <v>0</v>
      </c>
    </row>
    <row r="41" spans="1:10" ht="23.25">
      <c r="A41" s="1">
        <v>16900</v>
      </c>
      <c r="C41" s="1" t="str">
        <f t="shared" si="7"/>
        <v>16900.0</v>
      </c>
      <c r="D41" s="2">
        <f t="shared" si="8"/>
        <v>16900</v>
      </c>
      <c r="E41" s="3">
        <f t="shared" si="0"/>
        <v>0</v>
      </c>
      <c r="F41" s="8" t="s">
        <v>308</v>
      </c>
      <c r="H41" s="1" t="str">
        <f t="shared" si="9"/>
        <v>.0</v>
      </c>
      <c r="I41" s="2">
        <f t="shared" si="10"/>
        <v>0</v>
      </c>
      <c r="J41" s="3">
        <f t="shared" si="11"/>
        <v>0</v>
      </c>
    </row>
    <row r="42" spans="3:10" ht="23.25">
      <c r="C42" s="1" t="str">
        <f t="shared" si="7"/>
        <v>.0</v>
      </c>
      <c r="D42" s="2">
        <f t="shared" si="8"/>
        <v>0</v>
      </c>
      <c r="E42" s="3">
        <f t="shared" si="0"/>
        <v>0</v>
      </c>
      <c r="F42" s="8" t="s">
        <v>250</v>
      </c>
      <c r="H42" s="1" t="str">
        <f t="shared" si="9"/>
        <v>.0</v>
      </c>
      <c r="I42" s="2">
        <f t="shared" si="10"/>
        <v>0</v>
      </c>
      <c r="J42" s="3">
        <f t="shared" si="11"/>
        <v>0</v>
      </c>
    </row>
    <row r="43" spans="3:10" ht="23.25">
      <c r="C43" s="1" t="str">
        <f t="shared" si="7"/>
        <v>.0</v>
      </c>
      <c r="D43" s="2">
        <f t="shared" si="8"/>
        <v>0</v>
      </c>
      <c r="E43" s="3">
        <f t="shared" si="0"/>
        <v>0</v>
      </c>
      <c r="F43" s="8" t="s">
        <v>251</v>
      </c>
      <c r="H43" s="1" t="str">
        <f t="shared" si="9"/>
        <v>.0</v>
      </c>
      <c r="I43" s="2">
        <f t="shared" si="10"/>
        <v>0</v>
      </c>
      <c r="J43" s="3">
        <f t="shared" si="11"/>
        <v>0</v>
      </c>
    </row>
    <row r="44" spans="3:10" ht="23.25">
      <c r="C44" s="1" t="str">
        <f t="shared" si="7"/>
        <v>.0</v>
      </c>
      <c r="D44" s="2">
        <f t="shared" si="8"/>
        <v>0</v>
      </c>
      <c r="E44" s="3">
        <f t="shared" si="0"/>
        <v>0</v>
      </c>
      <c r="F44" s="8" t="s">
        <v>252</v>
      </c>
      <c r="H44" s="1" t="str">
        <f t="shared" si="9"/>
        <v>.0</v>
      </c>
      <c r="I44" s="2">
        <f t="shared" si="10"/>
        <v>0</v>
      </c>
      <c r="J44" s="3">
        <f t="shared" si="11"/>
        <v>0</v>
      </c>
    </row>
    <row r="45" spans="1:10" ht="23.25">
      <c r="A45" s="1">
        <f>38500+21000</f>
        <v>59500</v>
      </c>
      <c r="C45" s="1" t="str">
        <f>TEXT(A45,"#.#0")</f>
        <v>59500.0</v>
      </c>
      <c r="D45" s="2">
        <f t="shared" si="8"/>
        <v>59500</v>
      </c>
      <c r="E45" s="3">
        <f>IF(A45-INT(A45)&lt;&gt;0,RIGHT(C45,2),)</f>
        <v>0</v>
      </c>
      <c r="F45" s="8" t="s">
        <v>293</v>
      </c>
      <c r="H45" s="1" t="str">
        <f t="shared" si="9"/>
        <v>.0</v>
      </c>
      <c r="I45" s="2">
        <f t="shared" si="10"/>
        <v>0</v>
      </c>
      <c r="J45" s="3">
        <f aca="true" t="shared" si="12" ref="J45:J50">IF(G45-INT(G45)&lt;&gt;0,RIGHT(H45,2),)</f>
        <v>0</v>
      </c>
    </row>
    <row r="46" spans="3:10" ht="23.25">
      <c r="C46" s="1" t="str">
        <f>TEXT(A46,"#.#0")</f>
        <v>.0</v>
      </c>
      <c r="D46" s="2">
        <f t="shared" si="8"/>
        <v>0</v>
      </c>
      <c r="E46" s="3">
        <f>IF(A46-INT(A46)&lt;&gt;0,RIGHT(C46,2),)</f>
        <v>0</v>
      </c>
      <c r="F46" s="8" t="s">
        <v>254</v>
      </c>
      <c r="H46" s="1" t="str">
        <f t="shared" si="9"/>
        <v>.0</v>
      </c>
      <c r="I46" s="2">
        <f t="shared" si="10"/>
        <v>0</v>
      </c>
      <c r="J46" s="3">
        <f t="shared" si="12"/>
        <v>0</v>
      </c>
    </row>
    <row r="47" spans="3:10" ht="23.25">
      <c r="C47" s="1" t="str">
        <f t="shared" si="2"/>
        <v>.0</v>
      </c>
      <c r="D47" s="2">
        <f t="shared" si="3"/>
        <v>0</v>
      </c>
      <c r="E47" s="3">
        <f t="shared" si="0"/>
        <v>0</v>
      </c>
      <c r="F47" s="8" t="s">
        <v>164</v>
      </c>
      <c r="H47" s="1" t="str">
        <f t="shared" si="1"/>
        <v>.0</v>
      </c>
      <c r="I47" s="2">
        <f t="shared" si="4"/>
        <v>0</v>
      </c>
      <c r="J47" s="3">
        <f t="shared" si="12"/>
        <v>0</v>
      </c>
    </row>
    <row r="48" spans="3:10" ht="23.25">
      <c r="C48" s="1" t="str">
        <f t="shared" si="2"/>
        <v>.0</v>
      </c>
      <c r="D48" s="2">
        <f t="shared" si="3"/>
        <v>0</v>
      </c>
      <c r="E48" s="118">
        <f t="shared" si="0"/>
        <v>0</v>
      </c>
      <c r="F48" s="117" t="s">
        <v>121</v>
      </c>
      <c r="H48" s="1" t="str">
        <f t="shared" si="1"/>
        <v>.0</v>
      </c>
      <c r="I48" s="2">
        <f t="shared" si="4"/>
        <v>0</v>
      </c>
      <c r="J48" s="3">
        <f t="shared" si="12"/>
        <v>0</v>
      </c>
    </row>
    <row r="49" spans="3:10" ht="23.25">
      <c r="C49" s="1" t="str">
        <f t="shared" si="2"/>
        <v>.0</v>
      </c>
      <c r="D49" s="2">
        <f t="shared" si="3"/>
        <v>0</v>
      </c>
      <c r="E49" s="118">
        <f t="shared" si="0"/>
        <v>0</v>
      </c>
      <c r="F49" s="117" t="s">
        <v>22</v>
      </c>
      <c r="H49" s="1" t="str">
        <f t="shared" si="1"/>
        <v>.0</v>
      </c>
      <c r="I49" s="2">
        <f t="shared" si="4"/>
        <v>0</v>
      </c>
      <c r="J49" s="3">
        <f t="shared" si="12"/>
        <v>0</v>
      </c>
    </row>
    <row r="50" spans="3:10" ht="23.25">
      <c r="C50" s="1" t="str">
        <f t="shared" si="2"/>
        <v>.0</v>
      </c>
      <c r="D50" s="2">
        <f t="shared" si="3"/>
        <v>0</v>
      </c>
      <c r="E50" s="118">
        <f t="shared" si="0"/>
        <v>0</v>
      </c>
      <c r="F50" s="117" t="s">
        <v>33</v>
      </c>
      <c r="H50" s="1" t="str">
        <f t="shared" si="1"/>
        <v>.0</v>
      </c>
      <c r="I50" s="2">
        <f t="shared" si="4"/>
        <v>0</v>
      </c>
      <c r="J50" s="3">
        <f t="shared" si="12"/>
        <v>0</v>
      </c>
    </row>
    <row r="51" spans="1:10" ht="23.25">
      <c r="A51" s="1">
        <v>500</v>
      </c>
      <c r="C51" s="1" t="str">
        <f t="shared" si="2"/>
        <v>500.0</v>
      </c>
      <c r="D51" s="2">
        <f t="shared" si="3"/>
        <v>500</v>
      </c>
      <c r="E51" s="118">
        <f t="shared" si="0"/>
        <v>0</v>
      </c>
      <c r="F51" s="117" t="s">
        <v>14</v>
      </c>
      <c r="G51" s="1">
        <v>500</v>
      </c>
      <c r="H51" s="1" t="str">
        <f t="shared" si="1"/>
        <v>500.0</v>
      </c>
      <c r="I51" s="2">
        <f t="shared" si="4"/>
        <v>500</v>
      </c>
      <c r="J51" s="3">
        <f aca="true" t="shared" si="13" ref="J51:J59">IF(G51-INT(G51)&lt;&gt;0,RIGHT(H51,2),)</f>
        <v>0</v>
      </c>
    </row>
    <row r="52" spans="1:10" ht="23.25">
      <c r="A52" s="1">
        <v>1680</v>
      </c>
      <c r="C52" s="1" t="str">
        <f t="shared" si="2"/>
        <v>1680.0</v>
      </c>
      <c r="D52" s="2">
        <f t="shared" si="3"/>
        <v>1680</v>
      </c>
      <c r="E52" s="118">
        <f t="shared" si="0"/>
        <v>0</v>
      </c>
      <c r="F52" s="117" t="s">
        <v>196</v>
      </c>
      <c r="H52" s="1" t="str">
        <f t="shared" si="1"/>
        <v>.0</v>
      </c>
      <c r="I52" s="2">
        <f t="shared" si="4"/>
        <v>0</v>
      </c>
      <c r="J52" s="3">
        <f t="shared" si="13"/>
        <v>0</v>
      </c>
    </row>
    <row r="53" spans="1:10" ht="23.25">
      <c r="A53" s="1">
        <v>768.67</v>
      </c>
      <c r="C53" s="1" t="str">
        <f t="shared" si="2"/>
        <v>768.67</v>
      </c>
      <c r="D53" s="2">
        <f t="shared" si="3"/>
        <v>768</v>
      </c>
      <c r="E53" s="118" t="str">
        <f t="shared" si="0"/>
        <v>67</v>
      </c>
      <c r="F53" s="117" t="s">
        <v>15</v>
      </c>
      <c r="H53" s="1" t="str">
        <f t="shared" si="1"/>
        <v>.0</v>
      </c>
      <c r="I53" s="2">
        <f t="shared" si="4"/>
        <v>0</v>
      </c>
      <c r="J53" s="3">
        <f t="shared" si="13"/>
        <v>0</v>
      </c>
    </row>
    <row r="54" spans="3:10" ht="23.25">
      <c r="C54" s="1" t="str">
        <f t="shared" si="2"/>
        <v>.0</v>
      </c>
      <c r="D54" s="2">
        <f t="shared" si="3"/>
        <v>0</v>
      </c>
      <c r="E54" s="118">
        <f t="shared" si="0"/>
        <v>0</v>
      </c>
      <c r="F54" s="117" t="s">
        <v>16</v>
      </c>
      <c r="H54" s="1" t="str">
        <f t="shared" si="1"/>
        <v>.0</v>
      </c>
      <c r="I54" s="2">
        <f t="shared" si="4"/>
        <v>0</v>
      </c>
      <c r="J54" s="3">
        <f t="shared" si="13"/>
        <v>0</v>
      </c>
    </row>
    <row r="55" spans="3:10" ht="23.25">
      <c r="C55" s="1" t="str">
        <f t="shared" si="2"/>
        <v>.0</v>
      </c>
      <c r="D55" s="2">
        <f t="shared" si="3"/>
        <v>0</v>
      </c>
      <c r="E55" s="118">
        <f t="shared" si="0"/>
        <v>0</v>
      </c>
      <c r="F55" s="117" t="s">
        <v>17</v>
      </c>
      <c r="H55" s="1" t="str">
        <f t="shared" si="1"/>
        <v>.0</v>
      </c>
      <c r="I55" s="2">
        <f t="shared" si="4"/>
        <v>0</v>
      </c>
      <c r="J55" s="3">
        <f t="shared" si="13"/>
        <v>0</v>
      </c>
    </row>
    <row r="56" spans="3:10" ht="23.25">
      <c r="C56" s="1" t="str">
        <f t="shared" si="2"/>
        <v>.0</v>
      </c>
      <c r="D56" s="2">
        <f t="shared" si="3"/>
        <v>0</v>
      </c>
      <c r="E56" s="118">
        <f t="shared" si="0"/>
        <v>0</v>
      </c>
      <c r="F56" s="117" t="s">
        <v>19</v>
      </c>
      <c r="H56" s="1" t="str">
        <f t="shared" si="1"/>
        <v>.0</v>
      </c>
      <c r="I56" s="2">
        <f t="shared" si="4"/>
        <v>0</v>
      </c>
      <c r="J56" s="3">
        <f t="shared" si="13"/>
        <v>0</v>
      </c>
    </row>
    <row r="57" spans="3:10" ht="23.25">
      <c r="C57" s="1" t="str">
        <f>TEXT(A57,"#.#0")</f>
        <v>.0</v>
      </c>
      <c r="D57" s="2">
        <f t="shared" si="3"/>
        <v>0</v>
      </c>
      <c r="E57" s="118">
        <f>IF(A57-INT(A57)&lt;&gt;0,RIGHT(C57,2),)</f>
        <v>0</v>
      </c>
      <c r="F57" s="117" t="s">
        <v>10</v>
      </c>
      <c r="H57" s="1" t="str">
        <f t="shared" si="1"/>
        <v>.0</v>
      </c>
      <c r="I57" s="2">
        <f t="shared" si="4"/>
        <v>0</v>
      </c>
      <c r="J57" s="3">
        <f>IF(G57-INT(G57)&lt;&gt;0,RIGHT(H57,2),)</f>
        <v>0</v>
      </c>
    </row>
    <row r="58" spans="1:10" ht="23.25">
      <c r="A58" s="1">
        <v>0</v>
      </c>
      <c r="C58" s="1" t="str">
        <f t="shared" si="2"/>
        <v>.0</v>
      </c>
      <c r="D58" s="2">
        <f t="shared" si="3"/>
        <v>0</v>
      </c>
      <c r="E58" s="118">
        <f t="shared" si="0"/>
        <v>0</v>
      </c>
      <c r="F58" s="117" t="s">
        <v>152</v>
      </c>
      <c r="H58" s="1" t="str">
        <f t="shared" si="1"/>
        <v>.0</v>
      </c>
      <c r="I58" s="2">
        <f t="shared" si="4"/>
        <v>0</v>
      </c>
      <c r="J58" s="3">
        <f t="shared" si="13"/>
        <v>0</v>
      </c>
    </row>
    <row r="59" spans="3:10" ht="23.25">
      <c r="C59" s="1"/>
      <c r="D59" s="2"/>
      <c r="E59" s="3"/>
      <c r="F59" s="55"/>
      <c r="H59" s="1" t="str">
        <f t="shared" si="1"/>
        <v>.0</v>
      </c>
      <c r="I59" s="2">
        <f t="shared" si="4"/>
        <v>0</v>
      </c>
      <c r="J59" s="3">
        <f t="shared" si="13"/>
        <v>0</v>
      </c>
    </row>
    <row r="60" spans="3:10" ht="23.25">
      <c r="C60" s="1"/>
      <c r="D60" s="2"/>
      <c r="E60" s="3"/>
      <c r="F60" s="55"/>
      <c r="H60" s="1"/>
      <c r="I60" s="2"/>
      <c r="J60" s="3"/>
    </row>
    <row r="61" spans="3:10" ht="23.25">
      <c r="C61" s="1"/>
      <c r="D61" s="2"/>
      <c r="E61" s="3"/>
      <c r="F61" s="55"/>
      <c r="H61" s="1"/>
      <c r="I61" s="2"/>
      <c r="J61" s="3"/>
    </row>
    <row r="62" spans="1:10" ht="23.25">
      <c r="A62" s="1">
        <f>SUM(A2:A61)</f>
        <v>260329297.70999998</v>
      </c>
      <c r="C62" s="1" t="str">
        <f t="shared" si="2"/>
        <v>260329297.71</v>
      </c>
      <c r="D62" s="2">
        <f t="shared" si="3"/>
        <v>260329297</v>
      </c>
      <c r="E62" s="3" t="str">
        <f>IF(A62-INT(A62)&lt;&gt;0,RIGHT(C62,2),)</f>
        <v>71</v>
      </c>
      <c r="F62" s="112" t="s">
        <v>28</v>
      </c>
      <c r="G62" s="1">
        <f>SUM(G2:G61)</f>
        <v>22631445.95</v>
      </c>
      <c r="H62" s="1" t="str">
        <f>TEXT(G62,"#.#0")</f>
        <v>22631445.95</v>
      </c>
      <c r="I62" s="2">
        <f t="shared" si="4"/>
        <v>22631445</v>
      </c>
      <c r="J62" s="3" t="str">
        <f>IF(G62-INT(G62)&lt;&gt;0,RIGHT(H62,2),)</f>
        <v>95</v>
      </c>
    </row>
    <row r="63" spans="3:10" ht="23.25">
      <c r="C63" s="1"/>
      <c r="D63" s="2"/>
      <c r="E63" s="3"/>
      <c r="H63" s="1" t="str">
        <f aca="true" t="shared" si="14" ref="H63:H125">TEXT(G63,"#.#0")</f>
        <v>.0</v>
      </c>
      <c r="I63" s="2"/>
      <c r="J63" s="3"/>
    </row>
    <row r="64" spans="1:13" ht="23.25">
      <c r="A64" s="1">
        <f>115895.72+393678+3030702.55+967195.86+824689.86+272141.43+260548.75+335432.83+153921.26+409131.39+11392082.21</f>
        <v>18155419.86</v>
      </c>
      <c r="C64" s="1" t="str">
        <f t="shared" si="2"/>
        <v>18155419.86</v>
      </c>
      <c r="D64" s="2">
        <f t="shared" si="3"/>
        <v>18155419</v>
      </c>
      <c r="E64" s="3" t="str">
        <f aca="true" t="shared" si="15" ref="E64:E100">IF(A64-INT(A64)&lt;&gt;0,RIGHT(C64,2),)</f>
        <v>86</v>
      </c>
      <c r="F64" s="7" t="s">
        <v>14</v>
      </c>
      <c r="G64" s="1">
        <v>11392082.21</v>
      </c>
      <c r="H64" s="1" t="str">
        <f t="shared" si="14"/>
        <v>11392082.21</v>
      </c>
      <c r="I64" s="2">
        <f t="shared" si="4"/>
        <v>11392082</v>
      </c>
      <c r="J64" s="3" t="str">
        <f>IF(G64-INT(G64)&lt;&gt;0,RIGHT(H64,2),)</f>
        <v>21</v>
      </c>
      <c r="M64" s="1"/>
    </row>
    <row r="65" spans="1:13" ht="23.25">
      <c r="A65" s="1">
        <f>202470+202470+202470+202470+328105.71+368910+366810+368910+357360+344190+358079.03</f>
        <v>3302244.74</v>
      </c>
      <c r="C65" s="1" t="str">
        <f t="shared" si="2"/>
        <v>3302244.74</v>
      </c>
      <c r="D65" s="2">
        <f t="shared" si="3"/>
        <v>3302244</v>
      </c>
      <c r="E65" s="3" t="str">
        <f t="shared" si="15"/>
        <v>74</v>
      </c>
      <c r="F65" s="7" t="s">
        <v>195</v>
      </c>
      <c r="G65" s="1">
        <v>358079.03</v>
      </c>
      <c r="H65" s="1" t="str">
        <f t="shared" si="14"/>
        <v>358079.03</v>
      </c>
      <c r="I65" s="2">
        <f t="shared" si="4"/>
        <v>358079</v>
      </c>
      <c r="J65" s="3" t="str">
        <f aca="true" t="shared" si="16" ref="J65:J100">IF(G65-INT(G65)&lt;&gt;0,RIGHT(H65,2),)</f>
        <v>03</v>
      </c>
      <c r="M65" s="1"/>
    </row>
    <row r="66" spans="1:13" ht="23.25">
      <c r="A66" s="1">
        <f>1599562.09+1607110+1596940+1622357.79+1620828.87+1617705.92+1603498.35+1677506.79+1671895.38+1691968.56+1685116.87</f>
        <v>17994490.619999997</v>
      </c>
      <c r="C66" s="1" t="str">
        <f t="shared" si="2"/>
        <v>17994490.62</v>
      </c>
      <c r="D66" s="2">
        <f t="shared" si="3"/>
        <v>17994490</v>
      </c>
      <c r="E66" s="3" t="str">
        <f t="shared" si="15"/>
        <v>62</v>
      </c>
      <c r="F66" s="7" t="s">
        <v>196</v>
      </c>
      <c r="G66" s="1">
        <v>1685116.87</v>
      </c>
      <c r="H66" s="1" t="str">
        <f t="shared" si="14"/>
        <v>1685116.87</v>
      </c>
      <c r="I66" s="2">
        <f t="shared" si="4"/>
        <v>1685116</v>
      </c>
      <c r="J66" s="3" t="str">
        <f>IF(G66-INT(G66)&lt;&gt;0,RIGHT(H66,2),)</f>
        <v>87</v>
      </c>
      <c r="M66" s="1"/>
    </row>
    <row r="67" spans="1:13" ht="23.25">
      <c r="A67" s="1">
        <f>66700+124355+72675+72675+72675+72675+72675+75535+74105+74105+74105</f>
        <v>852280</v>
      </c>
      <c r="C67" s="1" t="str">
        <f t="shared" si="2"/>
        <v>852280.0</v>
      </c>
      <c r="D67" s="2">
        <f t="shared" si="3"/>
        <v>852280</v>
      </c>
      <c r="E67" s="3">
        <f t="shared" si="15"/>
        <v>0</v>
      </c>
      <c r="F67" s="7" t="s">
        <v>23</v>
      </c>
      <c r="G67" s="1">
        <v>74105</v>
      </c>
      <c r="H67" s="1" t="str">
        <f t="shared" si="14"/>
        <v>74105.0</v>
      </c>
      <c r="I67" s="2">
        <f t="shared" si="4"/>
        <v>74105</v>
      </c>
      <c r="J67" s="3">
        <f t="shared" si="16"/>
        <v>0</v>
      </c>
      <c r="M67" s="1"/>
    </row>
    <row r="68" spans="1:13" ht="23.25">
      <c r="A68" s="1">
        <f>2728535+2715315+2703797.9+2717315.95+2731460.71+2751771.77+2778860+2801647.1+2794560+2791330+2802725.14</f>
        <v>30317318.570000004</v>
      </c>
      <c r="C68" s="1" t="str">
        <f t="shared" si="2"/>
        <v>30317318.57</v>
      </c>
      <c r="D68" s="2">
        <f t="shared" si="3"/>
        <v>30317318</v>
      </c>
      <c r="E68" s="3" t="str">
        <f t="shared" si="15"/>
        <v>57</v>
      </c>
      <c r="F68" s="7" t="s">
        <v>15</v>
      </c>
      <c r="G68" s="1">
        <v>2802725.14</v>
      </c>
      <c r="H68" s="1" t="str">
        <f t="shared" si="14"/>
        <v>2802725.14</v>
      </c>
      <c r="I68" s="2">
        <f t="shared" si="4"/>
        <v>2802725</v>
      </c>
      <c r="J68" s="3" t="str">
        <f t="shared" si="16"/>
        <v>14</v>
      </c>
      <c r="M68" s="1"/>
    </row>
    <row r="69" spans="1:13" ht="23.25">
      <c r="A69" s="1">
        <f>123310+204517+178560+275277.88+233980+175690+212945+217970+321295.5+243532+277985</f>
        <v>2465062.38</v>
      </c>
      <c r="C69" s="1" t="str">
        <f t="shared" si="2"/>
        <v>2465062.38</v>
      </c>
      <c r="D69" s="2">
        <f t="shared" si="3"/>
        <v>2465062</v>
      </c>
      <c r="E69" s="3" t="str">
        <f t="shared" si="15"/>
        <v>38</v>
      </c>
      <c r="F69" s="7" t="s">
        <v>16</v>
      </c>
      <c r="G69" s="1">
        <v>277985</v>
      </c>
      <c r="H69" s="1" t="str">
        <f t="shared" si="14"/>
        <v>277985.0</v>
      </c>
      <c r="I69" s="2">
        <f t="shared" si="4"/>
        <v>277985</v>
      </c>
      <c r="J69" s="3">
        <f t="shared" si="16"/>
        <v>0</v>
      </c>
      <c r="M69" s="1"/>
    </row>
    <row r="70" spans="1:13" ht="23.25">
      <c r="A70" s="1">
        <f>109553+1922705.52+1371589.1+1993604.59+2947736.21+2593555.71+3169893.68+1979329.46+1697827.92+1917435.52+2463353.82</f>
        <v>22166584.529999997</v>
      </c>
      <c r="C70" s="1" t="str">
        <f t="shared" si="2"/>
        <v>22166584.53</v>
      </c>
      <c r="D70" s="2">
        <f t="shared" si="3"/>
        <v>22166584</v>
      </c>
      <c r="E70" s="3" t="str">
        <f t="shared" si="15"/>
        <v>53</v>
      </c>
      <c r="F70" s="7" t="s">
        <v>17</v>
      </c>
      <c r="G70" s="1">
        <f>1438448.82+1024905</f>
        <v>2463353.8200000003</v>
      </c>
      <c r="H70" s="1" t="str">
        <f t="shared" si="14"/>
        <v>2463353.82</v>
      </c>
      <c r="I70" s="2">
        <f t="shared" si="4"/>
        <v>2463353</v>
      </c>
      <c r="J70" s="3" t="str">
        <f t="shared" si="16"/>
        <v>82</v>
      </c>
      <c r="M70" s="1"/>
    </row>
    <row r="71" spans="1:13" ht="23.25">
      <c r="A71" s="46">
        <f>4900+747742.58+726113.07+745713.19+607926.03+1066556.96+677578.7+957608.33+955165.91+647551.68+707098.36</f>
        <v>7843954.8100000005</v>
      </c>
      <c r="B71" s="46"/>
      <c r="C71" s="1" t="str">
        <f t="shared" si="2"/>
        <v>7843954.81</v>
      </c>
      <c r="D71" s="2">
        <f t="shared" si="3"/>
        <v>7843954</v>
      </c>
      <c r="E71" s="3" t="str">
        <f t="shared" si="15"/>
        <v>81</v>
      </c>
      <c r="F71" s="7" t="s">
        <v>18</v>
      </c>
      <c r="G71" s="1">
        <v>707098.36</v>
      </c>
      <c r="H71" s="1" t="str">
        <f t="shared" si="14"/>
        <v>707098.36</v>
      </c>
      <c r="I71" s="2">
        <f t="shared" si="4"/>
        <v>707098</v>
      </c>
      <c r="J71" s="3" t="str">
        <f t="shared" si="16"/>
        <v>36</v>
      </c>
      <c r="M71" s="1"/>
    </row>
    <row r="72" spans="1:13" ht="23.25">
      <c r="A72" s="1">
        <f>152314.71+138835.21+149676.98+152567.33+102487.74+97573.28+176629.53+182919.04+191102.66+177875.01+37582.71</f>
        <v>1559564.2</v>
      </c>
      <c r="C72" s="1" t="str">
        <f t="shared" si="2"/>
        <v>1559564.20</v>
      </c>
      <c r="D72" s="2">
        <f t="shared" si="3"/>
        <v>1559564</v>
      </c>
      <c r="E72" s="3" t="str">
        <f t="shared" si="15"/>
        <v>20</v>
      </c>
      <c r="F72" s="7" t="s">
        <v>19</v>
      </c>
      <c r="G72" s="1">
        <v>37582.71</v>
      </c>
      <c r="H72" s="1" t="str">
        <f t="shared" si="14"/>
        <v>37582.71</v>
      </c>
      <c r="I72" s="2">
        <f t="shared" si="4"/>
        <v>37582</v>
      </c>
      <c r="J72" s="3" t="str">
        <f t="shared" si="16"/>
        <v>71</v>
      </c>
      <c r="L72" s="128"/>
      <c r="M72" s="1"/>
    </row>
    <row r="73" spans="1:13" ht="23.25">
      <c r="A73" s="1">
        <f>7234.06+144267.03+45912.1+577254.3+154575.75+666712.25+478725.8+119335.46+2481792+2453881.2+6810947</f>
        <v>13940636.95</v>
      </c>
      <c r="C73" s="1" t="str">
        <f t="shared" si="2"/>
        <v>13940636.95</v>
      </c>
      <c r="D73" s="2">
        <f t="shared" si="3"/>
        <v>13940636</v>
      </c>
      <c r="E73" s="3" t="str">
        <f t="shared" si="15"/>
        <v>95</v>
      </c>
      <c r="F73" s="7" t="s">
        <v>20</v>
      </c>
      <c r="G73" s="1">
        <v>6810947</v>
      </c>
      <c r="H73" s="1" t="str">
        <f t="shared" si="14"/>
        <v>6810947.0</v>
      </c>
      <c r="I73" s="2">
        <f t="shared" si="4"/>
        <v>6810947</v>
      </c>
      <c r="J73" s="3">
        <f t="shared" si="16"/>
        <v>0</v>
      </c>
      <c r="M73" s="1"/>
    </row>
    <row r="74" spans="1:13" ht="23.25">
      <c r="A74" s="1">
        <f>99000+1369000+557400+1660900+5389300+14619500+2628700+1044700+4335000+3172600</f>
        <v>34876100</v>
      </c>
      <c r="C74" s="1" t="str">
        <f t="shared" si="2"/>
        <v>34876100.0</v>
      </c>
      <c r="D74" s="2">
        <f t="shared" si="3"/>
        <v>34876100</v>
      </c>
      <c r="E74" s="3">
        <f t="shared" si="15"/>
        <v>0</v>
      </c>
      <c r="F74" s="7" t="s">
        <v>21</v>
      </c>
      <c r="G74" s="1">
        <v>3172600</v>
      </c>
      <c r="H74" s="1" t="str">
        <f t="shared" si="14"/>
        <v>3172600.0</v>
      </c>
      <c r="I74" s="2">
        <f t="shared" si="4"/>
        <v>3172600</v>
      </c>
      <c r="J74" s="3">
        <f t="shared" si="16"/>
        <v>0</v>
      </c>
      <c r="L74" s="128"/>
      <c r="M74" s="1"/>
    </row>
    <row r="75" spans="1:13" ht="23.25">
      <c r="A75" s="56">
        <f>10000+80000+607000+30000+637000+250000+40000+60000+630000+1268000</f>
        <v>3612000</v>
      </c>
      <c r="B75" s="56"/>
      <c r="C75" s="1" t="str">
        <f t="shared" si="2"/>
        <v>3612000.0</v>
      </c>
      <c r="D75" s="2">
        <f t="shared" si="3"/>
        <v>3612000</v>
      </c>
      <c r="E75" s="3">
        <f t="shared" si="15"/>
        <v>0</v>
      </c>
      <c r="F75" s="7" t="s">
        <v>10</v>
      </c>
      <c r="G75" s="1">
        <v>0</v>
      </c>
      <c r="H75" s="1" t="str">
        <f t="shared" si="14"/>
        <v>.0</v>
      </c>
      <c r="I75" s="2">
        <f t="shared" si="4"/>
        <v>0</v>
      </c>
      <c r="J75" s="3">
        <f t="shared" si="16"/>
        <v>0</v>
      </c>
      <c r="L75" s="128"/>
      <c r="M75" s="1"/>
    </row>
    <row r="76" spans="1:13" ht="23.25">
      <c r="A76" s="56">
        <v>2902383.8</v>
      </c>
      <c r="B76" s="56"/>
      <c r="C76" s="1" t="str">
        <f>TEXT(A76,"#.#0")</f>
        <v>2902383.80</v>
      </c>
      <c r="D76" s="2">
        <f t="shared" si="3"/>
        <v>2902383</v>
      </c>
      <c r="E76" s="3" t="str">
        <f>IF(A76-INT(A76)&lt;&gt;0,RIGHT(C76,2),)</f>
        <v>80</v>
      </c>
      <c r="F76" s="7" t="s">
        <v>266</v>
      </c>
      <c r="G76" s="1">
        <v>0</v>
      </c>
      <c r="H76" s="1" t="str">
        <f t="shared" si="14"/>
        <v>.0</v>
      </c>
      <c r="I76" s="2">
        <f t="shared" si="4"/>
        <v>0</v>
      </c>
      <c r="J76" s="3">
        <f>IF(G76-INT(G76)&lt;&gt;0,RIGHT(H76,2),)</f>
        <v>0</v>
      </c>
      <c r="L76" s="128">
        <f>SUM(G64:G75)</f>
        <v>29781675.14</v>
      </c>
      <c r="M76" s="1"/>
    </row>
    <row r="77" spans="3:13" ht="23.25">
      <c r="C77" s="1" t="str">
        <f t="shared" si="2"/>
        <v>.0</v>
      </c>
      <c r="D77" s="2">
        <f t="shared" si="3"/>
        <v>0</v>
      </c>
      <c r="E77" s="3">
        <f t="shared" si="15"/>
        <v>0</v>
      </c>
      <c r="F77" s="7" t="s">
        <v>185</v>
      </c>
      <c r="H77" s="1" t="str">
        <f t="shared" si="14"/>
        <v>.0</v>
      </c>
      <c r="I77" s="2">
        <f t="shared" si="4"/>
        <v>0</v>
      </c>
      <c r="J77" s="3">
        <f>IF(G77-INT(G77)&lt;&gt;0,RIGHT(H77,2),)</f>
        <v>0</v>
      </c>
      <c r="M77" s="1"/>
    </row>
    <row r="78" spans="1:13" ht="23.25">
      <c r="A78" s="1">
        <f>849050+452800+730804+574510+1569950+580090+1355968+876850+340276+650025+676600</f>
        <v>8656923</v>
      </c>
      <c r="C78" s="1" t="str">
        <f t="shared" si="2"/>
        <v>8656923.0</v>
      </c>
      <c r="D78" s="2">
        <f t="shared" si="3"/>
        <v>8656923</v>
      </c>
      <c r="E78" s="3">
        <f t="shared" si="15"/>
        <v>0</v>
      </c>
      <c r="F78" s="7" t="s">
        <v>101</v>
      </c>
      <c r="G78" s="119">
        <v>676600</v>
      </c>
      <c r="H78" s="1" t="str">
        <f t="shared" si="14"/>
        <v>676600.0</v>
      </c>
      <c r="I78" s="2">
        <f t="shared" si="4"/>
        <v>676600</v>
      </c>
      <c r="J78" s="3">
        <f t="shared" si="16"/>
        <v>0</v>
      </c>
      <c r="M78" s="1"/>
    </row>
    <row r="79" spans="1:13" ht="23.25">
      <c r="A79" s="1">
        <f>4208900+900+10500+3339030+2157600+1745400+1637600+1665880+1660080</f>
        <v>16425890</v>
      </c>
      <c r="C79" s="1" t="str">
        <f t="shared" si="2"/>
        <v>16425890.0</v>
      </c>
      <c r="D79" s="2">
        <f t="shared" si="3"/>
        <v>16425890</v>
      </c>
      <c r="E79" s="3">
        <f t="shared" si="15"/>
        <v>0</v>
      </c>
      <c r="F79" s="7" t="s">
        <v>100</v>
      </c>
      <c r="G79" s="1">
        <v>1660080</v>
      </c>
      <c r="H79" s="1" t="str">
        <f t="shared" si="14"/>
        <v>1660080.0</v>
      </c>
      <c r="I79" s="2">
        <f t="shared" si="4"/>
        <v>1660080</v>
      </c>
      <c r="J79" s="3">
        <f t="shared" si="16"/>
        <v>0</v>
      </c>
      <c r="M79" s="1"/>
    </row>
    <row r="80" spans="3:10" ht="23.25">
      <c r="C80" s="1" t="str">
        <f t="shared" si="2"/>
        <v>.0</v>
      </c>
      <c r="D80" s="2">
        <f t="shared" si="3"/>
        <v>0</v>
      </c>
      <c r="E80" s="3">
        <f t="shared" si="15"/>
        <v>0</v>
      </c>
      <c r="F80" s="7" t="s">
        <v>160</v>
      </c>
      <c r="H80" s="1" t="str">
        <f t="shared" si="14"/>
        <v>.0</v>
      </c>
      <c r="I80" s="2">
        <f t="shared" si="4"/>
        <v>0</v>
      </c>
      <c r="J80" s="3">
        <f>IF(G80-INT(G80)&lt;&gt;0,RIGHT(H80,2),)</f>
        <v>0</v>
      </c>
    </row>
    <row r="81" spans="1:10" ht="23.25">
      <c r="A81" s="1">
        <f>7200+18600+8600+9200+9200+9200+19900</f>
        <v>81900</v>
      </c>
      <c r="C81" s="1" t="str">
        <f>TEXT(A81,"#.#0")</f>
        <v>81900.0</v>
      </c>
      <c r="D81" s="2">
        <f t="shared" si="3"/>
        <v>81900</v>
      </c>
      <c r="E81" s="3">
        <f>IF(A81-INT(A81)&lt;&gt;0,RIGHT(C81,2),)</f>
        <v>0</v>
      </c>
      <c r="F81" s="7" t="s">
        <v>197</v>
      </c>
      <c r="G81" s="1">
        <v>19900</v>
      </c>
      <c r="H81" s="1" t="str">
        <f t="shared" si="14"/>
        <v>19900.0</v>
      </c>
      <c r="I81" s="2">
        <f t="shared" si="4"/>
        <v>19900</v>
      </c>
      <c r="J81" s="3">
        <f>IF(G81-INT(G81)&lt;&gt;0,RIGHT(H81,2),)</f>
        <v>0</v>
      </c>
    </row>
    <row r="82" spans="3:10" ht="23.25">
      <c r="C82" s="1" t="str">
        <f t="shared" si="2"/>
        <v>.0</v>
      </c>
      <c r="D82" s="2">
        <f t="shared" si="3"/>
        <v>0</v>
      </c>
      <c r="E82" s="3">
        <f t="shared" si="15"/>
        <v>0</v>
      </c>
      <c r="F82" s="7" t="s">
        <v>171</v>
      </c>
      <c r="H82" s="1" t="str">
        <f t="shared" si="14"/>
        <v>.0</v>
      </c>
      <c r="I82" s="2">
        <f t="shared" si="4"/>
        <v>0</v>
      </c>
      <c r="J82" s="3">
        <f>IF(G82-INT(G82)&lt;&gt;0,RIGHT(H82,2),)</f>
        <v>0</v>
      </c>
    </row>
    <row r="83" spans="3:10" ht="23.25">
      <c r="C83" s="1" t="str">
        <f t="shared" si="2"/>
        <v>.0</v>
      </c>
      <c r="D83" s="2">
        <f t="shared" si="3"/>
        <v>0</v>
      </c>
      <c r="E83" s="3">
        <f t="shared" si="15"/>
        <v>0</v>
      </c>
      <c r="F83" s="7" t="s">
        <v>172</v>
      </c>
      <c r="H83" s="1" t="str">
        <f t="shared" si="14"/>
        <v>.0</v>
      </c>
      <c r="I83" s="2">
        <f t="shared" si="4"/>
        <v>0</v>
      </c>
      <c r="J83" s="3">
        <f>IF(G83-INT(G83)&lt;&gt;0,RIGHT(H83,2),)</f>
        <v>0</v>
      </c>
    </row>
    <row r="84" spans="1:10" ht="23.25">
      <c r="A84" s="1">
        <f>11.03+8310000</f>
        <v>8310011.03</v>
      </c>
      <c r="C84" s="1" t="str">
        <f>TEXT(A84,"#.#0")</f>
        <v>8310011.03</v>
      </c>
      <c r="D84" s="2">
        <f>INT(C84)</f>
        <v>8310011</v>
      </c>
      <c r="E84" s="3" t="str">
        <f t="shared" si="15"/>
        <v>03</v>
      </c>
      <c r="F84" s="7" t="s">
        <v>169</v>
      </c>
      <c r="G84" s="1">
        <v>8310000</v>
      </c>
      <c r="H84" s="1" t="str">
        <f>TEXT(G84,"#.#0")</f>
        <v>8310000.0</v>
      </c>
      <c r="I84" s="2">
        <f>INT(H84)</f>
        <v>8310000</v>
      </c>
      <c r="J84" s="3">
        <f>IF(G84-INT(G84)&lt;&gt;0,RIGHT(H84,2),)</f>
        <v>0</v>
      </c>
    </row>
    <row r="85" spans="1:10" ht="23.25">
      <c r="A85" s="1">
        <v>234300</v>
      </c>
      <c r="C85" s="1" t="str">
        <f t="shared" si="2"/>
        <v>234300.0</v>
      </c>
      <c r="D85" s="2">
        <f t="shared" si="3"/>
        <v>234300</v>
      </c>
      <c r="E85" s="3">
        <f t="shared" si="15"/>
        <v>0</v>
      </c>
      <c r="F85" s="7" t="s">
        <v>121</v>
      </c>
      <c r="H85" s="1" t="str">
        <f t="shared" si="14"/>
        <v>.0</v>
      </c>
      <c r="I85" s="2">
        <f t="shared" si="4"/>
        <v>0</v>
      </c>
      <c r="J85" s="3">
        <f t="shared" si="16"/>
        <v>0</v>
      </c>
    </row>
    <row r="86" spans="1:10" ht="23.25">
      <c r="A86" s="1">
        <f>290000+1165200.14+212255.9</f>
        <v>1667456.0399999998</v>
      </c>
      <c r="C86" s="1" t="str">
        <f t="shared" si="2"/>
        <v>1667456.04</v>
      </c>
      <c r="D86" s="2">
        <f t="shared" si="3"/>
        <v>1667456</v>
      </c>
      <c r="E86" s="3" t="str">
        <f t="shared" si="15"/>
        <v>04</v>
      </c>
      <c r="F86" s="7" t="s">
        <v>22</v>
      </c>
      <c r="H86" s="1" t="str">
        <f t="shared" si="14"/>
        <v>.0</v>
      </c>
      <c r="I86" s="2">
        <f t="shared" si="4"/>
        <v>0</v>
      </c>
      <c r="J86" s="3">
        <f t="shared" si="16"/>
        <v>0</v>
      </c>
    </row>
    <row r="87" spans="1:10" ht="23.25">
      <c r="A87" s="1">
        <v>2876207</v>
      </c>
      <c r="C87" s="1" t="str">
        <f t="shared" si="2"/>
        <v>2876207.0</v>
      </c>
      <c r="D87" s="2">
        <f t="shared" si="3"/>
        <v>2876207</v>
      </c>
      <c r="E87" s="3">
        <f t="shared" si="15"/>
        <v>0</v>
      </c>
      <c r="F87" s="7" t="s">
        <v>33</v>
      </c>
      <c r="H87" s="1" t="str">
        <f t="shared" si="14"/>
        <v>.0</v>
      </c>
      <c r="I87" s="2">
        <f t="shared" si="4"/>
        <v>0</v>
      </c>
      <c r="J87" s="3">
        <f t="shared" si="16"/>
        <v>0</v>
      </c>
    </row>
    <row r="88" spans="3:10" ht="23.25">
      <c r="C88" s="1" t="str">
        <f t="shared" si="2"/>
        <v>.0</v>
      </c>
      <c r="D88" s="2">
        <f t="shared" si="3"/>
        <v>0</v>
      </c>
      <c r="E88" s="3">
        <f t="shared" si="15"/>
        <v>0</v>
      </c>
      <c r="F88" s="7" t="s">
        <v>110</v>
      </c>
      <c r="H88" s="1" t="str">
        <f t="shared" si="14"/>
        <v>.0</v>
      </c>
      <c r="I88" s="2">
        <f t="shared" si="4"/>
        <v>0</v>
      </c>
      <c r="J88" s="3">
        <f>IF(G88-INT(G88)&lt;&gt;0,RIGHT(H88,2),)</f>
        <v>0</v>
      </c>
    </row>
    <row r="89" spans="1:10" ht="23.25">
      <c r="A89" s="1">
        <f>1154821.19+957625.82+1082922.42+1601924.76+2610916.74+847267.59+2035528.85+2346035.78+1754567.79+1126150.84+1397985.69</f>
        <v>16915747.47</v>
      </c>
      <c r="C89" s="1" t="str">
        <f t="shared" si="2"/>
        <v>16915747.47</v>
      </c>
      <c r="D89" s="2">
        <f t="shared" si="3"/>
        <v>16915747</v>
      </c>
      <c r="E89" s="3" t="str">
        <f t="shared" si="15"/>
        <v>47</v>
      </c>
      <c r="F89" s="7" t="s">
        <v>11</v>
      </c>
      <c r="G89" s="1">
        <v>1397985.69</v>
      </c>
      <c r="H89" s="1" t="str">
        <f t="shared" si="14"/>
        <v>1397985.69</v>
      </c>
      <c r="I89" s="2">
        <f t="shared" si="4"/>
        <v>1397985</v>
      </c>
      <c r="J89" s="3" t="str">
        <f t="shared" si="16"/>
        <v>69</v>
      </c>
    </row>
    <row r="90" spans="1:10" ht="23.25">
      <c r="A90" s="1">
        <f>3687330+119308+1483000+5432000</f>
        <v>10721638</v>
      </c>
      <c r="C90" s="1" t="str">
        <f t="shared" si="2"/>
        <v>10721638.0</v>
      </c>
      <c r="D90" s="2">
        <f t="shared" si="3"/>
        <v>10721638</v>
      </c>
      <c r="E90" s="3">
        <f t="shared" si="15"/>
        <v>0</v>
      </c>
      <c r="F90" s="7" t="s">
        <v>12</v>
      </c>
      <c r="H90" s="1" t="str">
        <f t="shared" si="14"/>
        <v>.0</v>
      </c>
      <c r="I90" s="2">
        <f t="shared" si="4"/>
        <v>0</v>
      </c>
      <c r="J90" s="3">
        <f t="shared" si="16"/>
        <v>0</v>
      </c>
    </row>
    <row r="91" spans="1:10" ht="23.25">
      <c r="A91" s="1">
        <v>1203693.72</v>
      </c>
      <c r="C91" s="1" t="str">
        <f t="shared" si="2"/>
        <v>1203693.72</v>
      </c>
      <c r="D91" s="2">
        <f t="shared" si="3"/>
        <v>1203693</v>
      </c>
      <c r="E91" s="3" t="str">
        <f t="shared" si="15"/>
        <v>72</v>
      </c>
      <c r="F91" s="7" t="s">
        <v>141</v>
      </c>
      <c r="H91" s="1" t="str">
        <f t="shared" si="14"/>
        <v>.0</v>
      </c>
      <c r="I91" s="2">
        <f t="shared" si="4"/>
        <v>0</v>
      </c>
      <c r="J91" s="3">
        <f t="shared" si="16"/>
        <v>0</v>
      </c>
    </row>
    <row r="92" spans="1:10" ht="23.25">
      <c r="A92" s="1">
        <v>445637</v>
      </c>
      <c r="C92" s="1" t="str">
        <f>TEXT(A92,"#.#0")</f>
        <v>445637.0</v>
      </c>
      <c r="D92" s="2">
        <f t="shared" si="3"/>
        <v>445637</v>
      </c>
      <c r="E92" s="3">
        <f>IF(A92-INT(A92)&lt;&gt;0,RIGHT(C92,2),)</f>
        <v>0</v>
      </c>
      <c r="F92" s="7" t="s">
        <v>258</v>
      </c>
      <c r="H92" s="1" t="str">
        <f t="shared" si="14"/>
        <v>.0</v>
      </c>
      <c r="I92" s="2">
        <f t="shared" si="4"/>
        <v>0</v>
      </c>
      <c r="J92" s="3">
        <f>IF(G92-INT(G92)&lt;&gt;0,RIGHT(H92,2),)</f>
        <v>0</v>
      </c>
    </row>
    <row r="93" spans="1:10" ht="23.25">
      <c r="A93" s="1">
        <f>3679300+1879674+3695000+1816300+2336900+1304900+1813300+1792100+1784200</f>
        <v>20101674</v>
      </c>
      <c r="C93" s="1" t="str">
        <f t="shared" si="2"/>
        <v>20101674.0</v>
      </c>
      <c r="D93" s="2">
        <f t="shared" si="3"/>
        <v>20101674</v>
      </c>
      <c r="E93" s="3">
        <f t="shared" si="15"/>
        <v>0</v>
      </c>
      <c r="F93" s="7" t="s">
        <v>236</v>
      </c>
      <c r="G93" s="1">
        <v>1784200</v>
      </c>
      <c r="H93" s="1" t="str">
        <f t="shared" si="14"/>
        <v>1784200.0</v>
      </c>
      <c r="I93" s="2">
        <f t="shared" si="4"/>
        <v>1784200</v>
      </c>
      <c r="J93" s="3">
        <f t="shared" si="16"/>
        <v>0</v>
      </c>
    </row>
    <row r="94" spans="1:10" ht="23.25">
      <c r="A94" s="1">
        <f>49500+18500</f>
        <v>68000</v>
      </c>
      <c r="C94" s="1" t="str">
        <f>TEXT(A94,"#.#0")</f>
        <v>68000.0</v>
      </c>
      <c r="D94" s="2">
        <f t="shared" si="3"/>
        <v>68000</v>
      </c>
      <c r="E94" s="3">
        <f>IF(A94-INT(A94)&lt;&gt;0,RIGHT(C94,2),)</f>
        <v>0</v>
      </c>
      <c r="F94" s="7" t="s">
        <v>275</v>
      </c>
      <c r="H94" s="1" t="str">
        <f t="shared" si="14"/>
        <v>.0</v>
      </c>
      <c r="I94" s="2">
        <f t="shared" si="4"/>
        <v>0</v>
      </c>
      <c r="J94" s="3">
        <f>IF(G94-INT(G94)&lt;&gt;0,RIGHT(H94,2),)</f>
        <v>0</v>
      </c>
    </row>
    <row r="95" spans="1:10" ht="23.25">
      <c r="A95" s="1">
        <f>197500+763000+92500+453700+205300+395200+294400+8800</f>
        <v>2410400</v>
      </c>
      <c r="C95" s="1" t="str">
        <f t="shared" si="2"/>
        <v>2410400.0</v>
      </c>
      <c r="D95" s="2">
        <f t="shared" si="3"/>
        <v>2410400</v>
      </c>
      <c r="E95" s="3">
        <f t="shared" si="15"/>
        <v>0</v>
      </c>
      <c r="F95" s="7" t="s">
        <v>237</v>
      </c>
      <c r="G95" s="1">
        <v>8800</v>
      </c>
      <c r="H95" s="1" t="str">
        <f t="shared" si="14"/>
        <v>8800.0</v>
      </c>
      <c r="I95" s="2">
        <f t="shared" si="4"/>
        <v>8800</v>
      </c>
      <c r="J95" s="3">
        <f t="shared" si="16"/>
        <v>0</v>
      </c>
    </row>
    <row r="96" spans="1:10" ht="23.25">
      <c r="A96" s="1">
        <f>220000+925661</f>
        <v>1145661</v>
      </c>
      <c r="C96" s="1" t="str">
        <f>TEXT(A96,"#.#0")</f>
        <v>1145661.0</v>
      </c>
      <c r="D96" s="2">
        <f t="shared" si="3"/>
        <v>1145661</v>
      </c>
      <c r="E96" s="3">
        <f>IF(A96-INT(A96)&lt;&gt;0,RIGHT(C96,2),)</f>
        <v>0</v>
      </c>
      <c r="F96" s="8" t="s">
        <v>215</v>
      </c>
      <c r="H96" s="1" t="str">
        <f t="shared" si="14"/>
        <v>.0</v>
      </c>
      <c r="I96" s="2">
        <f t="shared" si="4"/>
        <v>0</v>
      </c>
      <c r="J96" s="3">
        <f t="shared" si="16"/>
        <v>0</v>
      </c>
    </row>
    <row r="97" spans="1:10" ht="23.25">
      <c r="A97" s="1">
        <v>788000</v>
      </c>
      <c r="C97" s="1" t="str">
        <f>TEXT(A97,"#.#0")</f>
        <v>788000.0</v>
      </c>
      <c r="D97" s="2">
        <f t="shared" si="3"/>
        <v>788000</v>
      </c>
      <c r="E97" s="3">
        <f>IF(A97-INT(A97)&lt;&gt;0,RIGHT(C97,2),)</f>
        <v>0</v>
      </c>
      <c r="F97" s="8" t="s">
        <v>276</v>
      </c>
      <c r="H97" s="1" t="str">
        <f t="shared" si="14"/>
        <v>.0</v>
      </c>
      <c r="I97" s="2">
        <f t="shared" si="4"/>
        <v>0</v>
      </c>
      <c r="J97" s="3">
        <f>IF(G97-INT(G97)&lt;&gt;0,RIGHT(H97,2),)</f>
        <v>0</v>
      </c>
    </row>
    <row r="98" spans="1:10" ht="23.25">
      <c r="A98" s="1">
        <f>68280+34140+68280+34140+61600+35820+34980+34980</f>
        <v>372220</v>
      </c>
      <c r="C98" s="1" t="str">
        <f t="shared" si="2"/>
        <v>372220.0</v>
      </c>
      <c r="D98" s="2">
        <f t="shared" si="3"/>
        <v>372220</v>
      </c>
      <c r="E98" s="3">
        <f t="shared" si="15"/>
        <v>0</v>
      </c>
      <c r="F98" s="8" t="s">
        <v>238</v>
      </c>
      <c r="G98" s="1">
        <v>34980</v>
      </c>
      <c r="H98" s="1" t="str">
        <f t="shared" si="14"/>
        <v>34980.0</v>
      </c>
      <c r="I98" s="2">
        <f t="shared" si="4"/>
        <v>34980</v>
      </c>
      <c r="J98" s="3">
        <f>IF(G98-INT(G98)&lt;&gt;0,RIGHT(H98,2),)</f>
        <v>0</v>
      </c>
    </row>
    <row r="99" spans="1:10" ht="23.25">
      <c r="A99" s="1">
        <f>39800+21800+5625.8+54500+32700+32700+32700+32700+32700+40435.48</f>
        <v>325661.27999999997</v>
      </c>
      <c r="C99" s="1" t="str">
        <f t="shared" si="2"/>
        <v>325661.28</v>
      </c>
      <c r="D99" s="2">
        <f t="shared" si="3"/>
        <v>325661</v>
      </c>
      <c r="E99" s="3" t="str">
        <f t="shared" si="15"/>
        <v>28</v>
      </c>
      <c r="F99" s="8" t="s">
        <v>239</v>
      </c>
      <c r="G99" s="1">
        <v>40435.48</v>
      </c>
      <c r="H99" s="1" t="str">
        <f t="shared" si="14"/>
        <v>40435.48</v>
      </c>
      <c r="I99" s="2">
        <f t="shared" si="4"/>
        <v>40435</v>
      </c>
      <c r="J99" s="3" t="str">
        <f>IF(G99-INT(G99)&lt;&gt;0,RIGHT(H99,2),)</f>
        <v>48</v>
      </c>
    </row>
    <row r="100" spans="1:10" ht="23.25">
      <c r="A100" s="1">
        <f>2400+680+281+2725+1635+1635+1635+3270+2022</f>
        <v>16283</v>
      </c>
      <c r="C100" s="1" t="str">
        <f t="shared" si="2"/>
        <v>16283.0</v>
      </c>
      <c r="D100" s="2">
        <f t="shared" si="3"/>
        <v>16283</v>
      </c>
      <c r="E100" s="3">
        <f t="shared" si="15"/>
        <v>0</v>
      </c>
      <c r="F100" s="7" t="s">
        <v>240</v>
      </c>
      <c r="G100" s="1">
        <v>2022</v>
      </c>
      <c r="H100" s="1" t="str">
        <f t="shared" si="14"/>
        <v>2022.0</v>
      </c>
      <c r="I100" s="2">
        <f t="shared" si="4"/>
        <v>2022</v>
      </c>
      <c r="J100" s="3">
        <f t="shared" si="16"/>
        <v>0</v>
      </c>
    </row>
    <row r="101" spans="3:10" ht="23.25">
      <c r="C101" s="1" t="str">
        <f>TEXT(A101,"#.#0")</f>
        <v>.0</v>
      </c>
      <c r="D101" s="2">
        <f t="shared" si="3"/>
        <v>0</v>
      </c>
      <c r="E101" s="3">
        <f>IF(A101-INT(A101)&lt;&gt;0,RIGHT(C101,2),)</f>
        <v>0</v>
      </c>
      <c r="F101" s="7" t="s">
        <v>241</v>
      </c>
      <c r="H101" s="1" t="str">
        <f t="shared" si="14"/>
        <v>.0</v>
      </c>
      <c r="I101" s="2">
        <f t="shared" si="4"/>
        <v>0</v>
      </c>
      <c r="J101" s="3">
        <f>IF(G101-INT(G101)&lt;&gt;0,RIGHT(H101,2),)</f>
        <v>0</v>
      </c>
    </row>
    <row r="102" spans="3:10" ht="23.25">
      <c r="C102" s="1" t="str">
        <f aca="true" t="shared" si="17" ref="C102:C115">TEXT(A102,"#.#0")</f>
        <v>.0</v>
      </c>
      <c r="D102" s="2">
        <f aca="true" t="shared" si="18" ref="D102:D117">INT(C102)</f>
        <v>0</v>
      </c>
      <c r="E102" s="3">
        <f aca="true" t="shared" si="19" ref="E102:E128">IF(A102-INT(A102)&lt;&gt;0,RIGHT(C102,2),)</f>
        <v>0</v>
      </c>
      <c r="F102" s="7" t="s">
        <v>242</v>
      </c>
      <c r="H102" s="1" t="str">
        <f aca="true" t="shared" si="20" ref="H102:H117">TEXT(G102,"#.#0")</f>
        <v>.0</v>
      </c>
      <c r="I102" s="2">
        <f aca="true" t="shared" si="21" ref="I102:I117">INT(H102)</f>
        <v>0</v>
      </c>
      <c r="J102" s="3">
        <f aca="true" t="shared" si="22" ref="J102:J111">IF(G102-INT(G102)&lt;&gt;0,RIGHT(H102,2),)</f>
        <v>0</v>
      </c>
    </row>
    <row r="103" spans="3:10" ht="23.25">
      <c r="C103" s="1" t="str">
        <f t="shared" si="17"/>
        <v>.0</v>
      </c>
      <c r="D103" s="2">
        <f t="shared" si="18"/>
        <v>0</v>
      </c>
      <c r="E103" s="3">
        <f t="shared" si="19"/>
        <v>0</v>
      </c>
      <c r="F103" s="8" t="s">
        <v>243</v>
      </c>
      <c r="H103" s="1" t="str">
        <f t="shared" si="20"/>
        <v>.0</v>
      </c>
      <c r="I103" s="2">
        <f t="shared" si="21"/>
        <v>0</v>
      </c>
      <c r="J103" s="3">
        <f t="shared" si="22"/>
        <v>0</v>
      </c>
    </row>
    <row r="104" spans="1:10" ht="23.25">
      <c r="A104" s="1">
        <f>89600+89658</f>
        <v>179258</v>
      </c>
      <c r="C104" s="1" t="str">
        <f t="shared" si="17"/>
        <v>179258.0</v>
      </c>
      <c r="D104" s="2">
        <f t="shared" si="18"/>
        <v>179258</v>
      </c>
      <c r="E104" s="3">
        <f t="shared" si="19"/>
        <v>0</v>
      </c>
      <c r="F104" s="8" t="s">
        <v>244</v>
      </c>
      <c r="H104" s="1" t="str">
        <f t="shared" si="20"/>
        <v>.0</v>
      </c>
      <c r="I104" s="2">
        <f t="shared" si="21"/>
        <v>0</v>
      </c>
      <c r="J104" s="3">
        <f t="shared" si="22"/>
        <v>0</v>
      </c>
    </row>
    <row r="105" spans="1:10" ht="23.25">
      <c r="A105" s="1">
        <v>83720</v>
      </c>
      <c r="C105" s="1" t="str">
        <f>TEXT(A105,"#.#0")</f>
        <v>83720.0</v>
      </c>
      <c r="D105" s="2">
        <f>INT(C105)</f>
        <v>83720</v>
      </c>
      <c r="E105" s="3">
        <f>IF(A105-INT(A105)&lt;&gt;0,RIGHT(C105,2),)</f>
        <v>0</v>
      </c>
      <c r="F105" s="8" t="s">
        <v>298</v>
      </c>
      <c r="H105" s="1" t="str">
        <f>TEXT(G105,"#.#0")</f>
        <v>.0</v>
      </c>
      <c r="I105" s="2">
        <f>INT(H105)</f>
        <v>0</v>
      </c>
      <c r="J105" s="3">
        <f>IF(G105-INT(G105)&lt;&gt;0,RIGHT(H105,2),)</f>
        <v>0</v>
      </c>
    </row>
    <row r="106" spans="1:10" ht="23.25">
      <c r="A106" s="1">
        <v>99561</v>
      </c>
      <c r="C106" s="1" t="str">
        <f t="shared" si="17"/>
        <v>99561.0</v>
      </c>
      <c r="D106" s="2">
        <f t="shared" si="18"/>
        <v>99561</v>
      </c>
      <c r="E106" s="3">
        <f t="shared" si="19"/>
        <v>0</v>
      </c>
      <c r="F106" s="8" t="s">
        <v>245</v>
      </c>
      <c r="H106" s="1" t="str">
        <f t="shared" si="20"/>
        <v>.0</v>
      </c>
      <c r="I106" s="2">
        <f t="shared" si="21"/>
        <v>0</v>
      </c>
      <c r="J106" s="3">
        <f t="shared" si="22"/>
        <v>0</v>
      </c>
    </row>
    <row r="107" spans="1:10" ht="23.25">
      <c r="A107" s="1">
        <v>15000</v>
      </c>
      <c r="C107" s="1" t="str">
        <f>TEXT(A107,"#.#0")</f>
        <v>15000.0</v>
      </c>
      <c r="D107" s="2">
        <f t="shared" si="18"/>
        <v>15000</v>
      </c>
      <c r="E107" s="3">
        <f>IF(A107-INT(A107)&lt;&gt;0,RIGHT(C107,2),)</f>
        <v>0</v>
      </c>
      <c r="F107" s="8" t="s">
        <v>304</v>
      </c>
      <c r="H107" s="1" t="str">
        <f t="shared" si="20"/>
        <v>.0</v>
      </c>
      <c r="I107" s="2">
        <f t="shared" si="21"/>
        <v>0</v>
      </c>
      <c r="J107" s="3">
        <f>IF(G107-INT(G107)&lt;&gt;0,RIGHT(H107,2),)</f>
        <v>0</v>
      </c>
    </row>
    <row r="108" spans="1:10" ht="23.25">
      <c r="A108" s="1">
        <f>15022+23495</f>
        <v>38517</v>
      </c>
      <c r="C108" s="1" t="str">
        <f t="shared" si="17"/>
        <v>38517.0</v>
      </c>
      <c r="D108" s="2">
        <f t="shared" si="18"/>
        <v>38517</v>
      </c>
      <c r="E108" s="3">
        <f t="shared" si="19"/>
        <v>0</v>
      </c>
      <c r="F108" s="8" t="s">
        <v>246</v>
      </c>
      <c r="H108" s="1" t="str">
        <f t="shared" si="20"/>
        <v>.0</v>
      </c>
      <c r="I108" s="2">
        <f t="shared" si="21"/>
        <v>0</v>
      </c>
      <c r="J108" s="3">
        <f>IF(G108-INT(G108)&lt;&gt;0,RIGHT(H108,2),)</f>
        <v>0</v>
      </c>
    </row>
    <row r="109" spans="1:10" ht="23.25">
      <c r="A109" s="1">
        <f>10150+3000</f>
        <v>13150</v>
      </c>
      <c r="C109" s="1" t="str">
        <f t="shared" si="17"/>
        <v>13150.0</v>
      </c>
      <c r="D109" s="2">
        <f t="shared" si="18"/>
        <v>13150</v>
      </c>
      <c r="E109" s="3">
        <f t="shared" si="19"/>
        <v>0</v>
      </c>
      <c r="F109" s="8" t="s">
        <v>247</v>
      </c>
      <c r="G109" s="1">
        <v>3000</v>
      </c>
      <c r="H109" s="1" t="str">
        <f t="shared" si="20"/>
        <v>3000.0</v>
      </c>
      <c r="I109" s="2">
        <f t="shared" si="21"/>
        <v>3000</v>
      </c>
      <c r="J109" s="3">
        <f>IF(G109-INT(G109)&lt;&gt;0,RIGHT(H109,2),)</f>
        <v>0</v>
      </c>
    </row>
    <row r="110" spans="1:10" ht="23.25">
      <c r="A110" s="1">
        <v>21900</v>
      </c>
      <c r="C110" s="1" t="str">
        <f>TEXT(A110,"#.#0")</f>
        <v>21900.0</v>
      </c>
      <c r="D110" s="2">
        <f t="shared" si="18"/>
        <v>21900</v>
      </c>
      <c r="E110" s="3">
        <f>IF(A110-INT(A110)&lt;&gt;0,RIGHT(C110,2),)</f>
        <v>0</v>
      </c>
      <c r="F110" s="8" t="s">
        <v>305</v>
      </c>
      <c r="H110" s="1" t="str">
        <f t="shared" si="20"/>
        <v>.0</v>
      </c>
      <c r="I110" s="2">
        <f t="shared" si="21"/>
        <v>0</v>
      </c>
      <c r="J110" s="3">
        <f>IF(G110-INT(G110)&lt;&gt;0,RIGHT(H110,2),)</f>
        <v>0</v>
      </c>
    </row>
    <row r="111" spans="1:10" ht="23.25">
      <c r="A111" s="1">
        <f>21942+32400</f>
        <v>54342</v>
      </c>
      <c r="C111" s="1" t="str">
        <f t="shared" si="17"/>
        <v>54342.0</v>
      </c>
      <c r="D111" s="2">
        <f t="shared" si="18"/>
        <v>54342</v>
      </c>
      <c r="E111" s="3">
        <f t="shared" si="19"/>
        <v>0</v>
      </c>
      <c r="F111" s="8" t="s">
        <v>248</v>
      </c>
      <c r="H111" s="1" t="str">
        <f t="shared" si="20"/>
        <v>.0</v>
      </c>
      <c r="I111" s="2">
        <f t="shared" si="21"/>
        <v>0</v>
      </c>
      <c r="J111" s="3">
        <f t="shared" si="22"/>
        <v>0</v>
      </c>
    </row>
    <row r="112" spans="1:10" ht="23.25">
      <c r="A112" s="1">
        <v>36132</v>
      </c>
      <c r="C112" s="1" t="str">
        <f t="shared" si="17"/>
        <v>36132.0</v>
      </c>
      <c r="D112" s="2">
        <f t="shared" si="18"/>
        <v>36132</v>
      </c>
      <c r="E112" s="3">
        <f t="shared" si="19"/>
        <v>0</v>
      </c>
      <c r="F112" s="8" t="s">
        <v>265</v>
      </c>
      <c r="H112" s="1" t="str">
        <f t="shared" si="20"/>
        <v>.0</v>
      </c>
      <c r="I112" s="2">
        <f t="shared" si="21"/>
        <v>0</v>
      </c>
      <c r="J112" s="3">
        <f aca="true" t="shared" si="23" ref="J112:J117">IF(G112-INT(G112)&lt;&gt;0,RIGHT(H112,2),)</f>
        <v>0</v>
      </c>
    </row>
    <row r="113" spans="1:10" ht="23.25">
      <c r="A113" s="1">
        <v>16900</v>
      </c>
      <c r="C113" s="1" t="str">
        <f t="shared" si="17"/>
        <v>16900.0</v>
      </c>
      <c r="D113" s="2">
        <f t="shared" si="18"/>
        <v>16900</v>
      </c>
      <c r="E113" s="3">
        <f t="shared" si="19"/>
        <v>0</v>
      </c>
      <c r="F113" s="8" t="s">
        <v>308</v>
      </c>
      <c r="G113" s="1">
        <v>16900</v>
      </c>
      <c r="H113" s="1" t="str">
        <f t="shared" si="20"/>
        <v>16900.0</v>
      </c>
      <c r="I113" s="2">
        <f t="shared" si="21"/>
        <v>16900</v>
      </c>
      <c r="J113" s="3">
        <f t="shared" si="23"/>
        <v>0</v>
      </c>
    </row>
    <row r="114" spans="3:10" ht="23.25">
      <c r="C114" s="1" t="str">
        <f t="shared" si="17"/>
        <v>.0</v>
      </c>
      <c r="D114" s="2">
        <f t="shared" si="18"/>
        <v>0</v>
      </c>
      <c r="E114" s="3">
        <f t="shared" si="19"/>
        <v>0</v>
      </c>
      <c r="F114" s="8" t="s">
        <v>250</v>
      </c>
      <c r="H114" s="1" t="str">
        <f t="shared" si="20"/>
        <v>.0</v>
      </c>
      <c r="I114" s="2">
        <f t="shared" si="21"/>
        <v>0</v>
      </c>
      <c r="J114" s="3">
        <f t="shared" si="23"/>
        <v>0</v>
      </c>
    </row>
    <row r="115" spans="3:10" ht="23.25">
      <c r="C115" s="1" t="str">
        <f t="shared" si="17"/>
        <v>.0</v>
      </c>
      <c r="D115" s="2">
        <f t="shared" si="18"/>
        <v>0</v>
      </c>
      <c r="E115" s="3">
        <f t="shared" si="19"/>
        <v>0</v>
      </c>
      <c r="F115" s="8" t="s">
        <v>251</v>
      </c>
      <c r="H115" s="1" t="str">
        <f t="shared" si="20"/>
        <v>.0</v>
      </c>
      <c r="I115" s="2">
        <f t="shared" si="21"/>
        <v>0</v>
      </c>
      <c r="J115" s="3">
        <f t="shared" si="23"/>
        <v>0</v>
      </c>
    </row>
    <row r="116" spans="3:10" ht="23.25">
      <c r="C116" s="1" t="str">
        <f>TEXT(A116,"#.#0")</f>
        <v>.0</v>
      </c>
      <c r="D116" s="2">
        <f t="shared" si="18"/>
        <v>0</v>
      </c>
      <c r="E116" s="3">
        <f>IF(A116-INT(A116)&lt;&gt;0,RIGHT(C116,2),)</f>
        <v>0</v>
      </c>
      <c r="F116" s="8" t="s">
        <v>252</v>
      </c>
      <c r="H116" s="1" t="str">
        <f t="shared" si="20"/>
        <v>.0</v>
      </c>
      <c r="I116" s="2">
        <f t="shared" si="21"/>
        <v>0</v>
      </c>
      <c r="J116" s="3">
        <f t="shared" si="23"/>
        <v>0</v>
      </c>
    </row>
    <row r="117" spans="1:10" ht="23.25">
      <c r="A117" s="1">
        <f>10500+21000+7000+7000</f>
        <v>45500</v>
      </c>
      <c r="C117" s="1" t="str">
        <f>TEXT(A117,"#.#0")</f>
        <v>45500.0</v>
      </c>
      <c r="D117" s="2">
        <f t="shared" si="18"/>
        <v>45500</v>
      </c>
      <c r="E117" s="3">
        <f>IF(A117-INT(A117)&lt;&gt;0,RIGHT(C117,2),)</f>
        <v>0</v>
      </c>
      <c r="F117" s="8" t="s">
        <v>293</v>
      </c>
      <c r="G117" s="1">
        <v>7000</v>
      </c>
      <c r="H117" s="1" t="str">
        <f t="shared" si="20"/>
        <v>7000.0</v>
      </c>
      <c r="I117" s="2">
        <f t="shared" si="21"/>
        <v>7000</v>
      </c>
      <c r="J117" s="3">
        <f t="shared" si="23"/>
        <v>0</v>
      </c>
    </row>
    <row r="118" spans="1:10" ht="23.25">
      <c r="A118" s="1">
        <v>5800</v>
      </c>
      <c r="C118" s="1" t="str">
        <f t="shared" si="2"/>
        <v>5800.0</v>
      </c>
      <c r="D118" s="2">
        <f t="shared" si="3"/>
        <v>5800</v>
      </c>
      <c r="E118" s="3">
        <f t="shared" si="19"/>
        <v>0</v>
      </c>
      <c r="F118" s="7" t="s">
        <v>254</v>
      </c>
      <c r="H118" s="1" t="str">
        <f t="shared" si="14"/>
        <v>.0</v>
      </c>
      <c r="I118" s="2">
        <f t="shared" si="4"/>
        <v>0</v>
      </c>
      <c r="J118" s="3">
        <f aca="true" t="shared" si="24" ref="J118:J128">IF(G118-INT(G118)&lt;&gt;0,RIGHT(H118,2),)</f>
        <v>0</v>
      </c>
    </row>
    <row r="119" spans="1:10" ht="23.25">
      <c r="A119" s="1">
        <v>9880</v>
      </c>
      <c r="C119" s="1" t="str">
        <f t="shared" si="2"/>
        <v>9880.0</v>
      </c>
      <c r="D119" s="2">
        <f t="shared" si="3"/>
        <v>9880</v>
      </c>
      <c r="E119" s="3">
        <f t="shared" si="19"/>
        <v>0</v>
      </c>
      <c r="F119" s="7" t="s">
        <v>268</v>
      </c>
      <c r="H119" s="1" t="str">
        <f t="shared" si="14"/>
        <v>.0</v>
      </c>
      <c r="I119" s="2">
        <f t="shared" si="4"/>
        <v>0</v>
      </c>
      <c r="J119" s="3">
        <f t="shared" si="24"/>
        <v>0</v>
      </c>
    </row>
    <row r="120" spans="1:10" ht="23.25">
      <c r="A120" s="1">
        <v>140</v>
      </c>
      <c r="C120" s="1" t="str">
        <f t="shared" si="2"/>
        <v>140.0</v>
      </c>
      <c r="D120" s="2">
        <f t="shared" si="3"/>
        <v>140</v>
      </c>
      <c r="E120" s="3">
        <f t="shared" si="19"/>
        <v>0</v>
      </c>
      <c r="F120" s="7" t="s">
        <v>269</v>
      </c>
      <c r="H120" s="1" t="str">
        <f t="shared" si="14"/>
        <v>.0</v>
      </c>
      <c r="I120" s="2">
        <f t="shared" si="4"/>
        <v>0</v>
      </c>
      <c r="J120" s="3">
        <f t="shared" si="24"/>
        <v>0</v>
      </c>
    </row>
    <row r="121" spans="1:10" ht="23.25">
      <c r="A121" s="1">
        <v>1195</v>
      </c>
      <c r="C121" s="1" t="str">
        <f t="shared" si="2"/>
        <v>1195.0</v>
      </c>
      <c r="D121" s="2">
        <f t="shared" si="3"/>
        <v>1195</v>
      </c>
      <c r="E121" s="3">
        <f t="shared" si="19"/>
        <v>0</v>
      </c>
      <c r="F121" s="7" t="s">
        <v>270</v>
      </c>
      <c r="H121" s="1" t="str">
        <f t="shared" si="14"/>
        <v>.0</v>
      </c>
      <c r="I121" s="2">
        <f t="shared" si="4"/>
        <v>0</v>
      </c>
      <c r="J121" s="3">
        <f t="shared" si="24"/>
        <v>0</v>
      </c>
    </row>
    <row r="122" spans="3:10" ht="23.25">
      <c r="C122" s="1" t="str">
        <f t="shared" si="2"/>
        <v>.0</v>
      </c>
      <c r="D122" s="2">
        <f t="shared" si="3"/>
        <v>0</v>
      </c>
      <c r="E122" s="3">
        <f t="shared" si="19"/>
        <v>0</v>
      </c>
      <c r="F122" s="7"/>
      <c r="H122" s="1" t="str">
        <f t="shared" si="14"/>
        <v>.0</v>
      </c>
      <c r="I122" s="2">
        <f t="shared" si="4"/>
        <v>0</v>
      </c>
      <c r="J122" s="3">
        <f t="shared" si="24"/>
        <v>0</v>
      </c>
    </row>
    <row r="123" spans="3:10" ht="23.25">
      <c r="C123" s="1" t="str">
        <f t="shared" si="2"/>
        <v>.0</v>
      </c>
      <c r="D123" s="2">
        <f t="shared" si="3"/>
        <v>0</v>
      </c>
      <c r="E123" s="3">
        <f t="shared" si="19"/>
        <v>0</v>
      </c>
      <c r="F123" s="7"/>
      <c r="H123" s="1" t="str">
        <f t="shared" si="14"/>
        <v>.0</v>
      </c>
      <c r="I123" s="2">
        <f t="shared" si="4"/>
        <v>0</v>
      </c>
      <c r="J123" s="3">
        <f t="shared" si="24"/>
        <v>0</v>
      </c>
    </row>
    <row r="124" spans="3:10" ht="23.25">
      <c r="C124" s="1" t="str">
        <f t="shared" si="2"/>
        <v>.0</v>
      </c>
      <c r="D124" s="2">
        <f t="shared" si="3"/>
        <v>0</v>
      </c>
      <c r="E124" s="3">
        <f t="shared" si="19"/>
        <v>0</v>
      </c>
      <c r="F124" s="7"/>
      <c r="H124" s="1" t="str">
        <f t="shared" si="14"/>
        <v>.0</v>
      </c>
      <c r="I124" s="2">
        <f t="shared" si="4"/>
        <v>0</v>
      </c>
      <c r="J124" s="3">
        <f t="shared" si="24"/>
        <v>0</v>
      </c>
    </row>
    <row r="125" spans="3:10" ht="23.25">
      <c r="C125" s="1" t="str">
        <f t="shared" si="2"/>
        <v>.0</v>
      </c>
      <c r="D125" s="2">
        <f t="shared" si="3"/>
        <v>0</v>
      </c>
      <c r="E125" s="3">
        <f t="shared" si="19"/>
        <v>0</v>
      </c>
      <c r="H125" s="1" t="str">
        <f t="shared" si="14"/>
        <v>.0</v>
      </c>
      <c r="I125" s="2">
        <f t="shared" si="4"/>
        <v>0</v>
      </c>
      <c r="J125" s="3">
        <f t="shared" si="24"/>
        <v>0</v>
      </c>
    </row>
    <row r="126" spans="1:10" ht="23.25">
      <c r="A126" s="1">
        <f>SUM(A64:A125)</f>
        <v>253376338.00000003</v>
      </c>
      <c r="C126" s="1" t="str">
        <f t="shared" si="2"/>
        <v>253376338.0</v>
      </c>
      <c r="D126" s="2">
        <f t="shared" si="3"/>
        <v>253376338</v>
      </c>
      <c r="E126" s="3" t="str">
        <f t="shared" si="19"/>
        <v>.0</v>
      </c>
      <c r="F126" s="112" t="s">
        <v>25</v>
      </c>
      <c r="G126" s="1">
        <f>SUM(G64:G124)</f>
        <v>43743578.309999995</v>
      </c>
      <c r="H126" s="1" t="str">
        <f>TEXT(G126,"#.#0")</f>
        <v>43743578.31</v>
      </c>
      <c r="I126" s="2">
        <f t="shared" si="4"/>
        <v>43743578</v>
      </c>
      <c r="J126" s="3" t="str">
        <f t="shared" si="24"/>
        <v>31</v>
      </c>
    </row>
    <row r="127" spans="1:10" ht="23.25">
      <c r="A127" s="1">
        <f>A62-A126</f>
        <v>6952959.709999949</v>
      </c>
      <c r="C127" s="1" t="str">
        <f t="shared" si="2"/>
        <v>6952959.71</v>
      </c>
      <c r="D127" s="2">
        <f>INT(C127)</f>
        <v>6952959</v>
      </c>
      <c r="E127" s="3" t="str">
        <f t="shared" si="19"/>
        <v>71</v>
      </c>
      <c r="G127" s="1">
        <f>+G62-G126</f>
        <v>-21112132.359999996</v>
      </c>
      <c r="H127" s="1" t="str">
        <f>TEXT(G127,"#.#0")</f>
        <v>-21112132.36</v>
      </c>
      <c r="I127" s="2">
        <f>INT(H127)</f>
        <v>-21112133</v>
      </c>
      <c r="J127" s="3" t="str">
        <f t="shared" si="24"/>
        <v>36</v>
      </c>
    </row>
    <row r="128" spans="1:10" ht="23.25">
      <c r="A128" s="1">
        <f>A1+A127</f>
        <v>60741764.53999995</v>
      </c>
      <c r="C128" s="1" t="str">
        <f t="shared" si="2"/>
        <v>60741764.54</v>
      </c>
      <c r="D128" s="2">
        <f t="shared" si="3"/>
        <v>60741764</v>
      </c>
      <c r="E128" s="3" t="str">
        <f t="shared" si="19"/>
        <v>54</v>
      </c>
      <c r="G128" s="1">
        <f>G1+G127</f>
        <v>60741764.54000002</v>
      </c>
      <c r="H128" s="1" t="str">
        <f>TEXT(G128,"#.#0")</f>
        <v>60741764.54</v>
      </c>
      <c r="I128" s="2">
        <f t="shared" si="4"/>
        <v>60741764</v>
      </c>
      <c r="J128" s="3" t="str">
        <f t="shared" si="24"/>
        <v>54</v>
      </c>
    </row>
  </sheetData>
  <sheetProtection deleteColumn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9"/>
  <sheetViews>
    <sheetView zoomScalePageLayoutView="0" workbookViewId="0" topLeftCell="A62">
      <selection activeCell="J7" sqref="J7"/>
    </sheetView>
  </sheetViews>
  <sheetFormatPr defaultColWidth="9.140625" defaultRowHeight="21.75"/>
  <cols>
    <col min="1" max="1" width="13.8515625" style="24" customWidth="1"/>
    <col min="2" max="2" width="5.57421875" style="24" customWidth="1"/>
    <col min="3" max="3" width="13.8515625" style="24" customWidth="1"/>
    <col min="4" max="4" width="5.57421875" style="24" customWidth="1"/>
    <col min="5" max="5" width="41.140625" style="24" customWidth="1"/>
    <col min="6" max="6" width="7.421875" style="24" customWidth="1"/>
    <col min="7" max="7" width="13.7109375" style="24" customWidth="1"/>
    <col min="8" max="8" width="5.57421875" style="24" customWidth="1"/>
    <col min="9" max="9" width="7.421875" style="24" customWidth="1"/>
    <col min="10" max="10" width="20.421875" style="62" customWidth="1"/>
    <col min="11" max="11" width="9.140625" style="24" customWidth="1"/>
    <col min="12" max="12" width="11.421875" style="24" customWidth="1"/>
    <col min="13" max="13" width="9.140625" style="24" customWidth="1"/>
    <col min="14" max="14" width="11.28125" style="24" customWidth="1"/>
    <col min="15" max="16384" width="9.140625" style="24" customWidth="1"/>
  </cols>
  <sheetData>
    <row r="1" spans="1:8" ht="22.5" customHeight="1">
      <c r="A1" s="10" t="s">
        <v>32</v>
      </c>
      <c r="B1" s="10"/>
      <c r="C1" s="10"/>
      <c r="D1" s="10"/>
      <c r="E1" s="10"/>
      <c r="F1" s="89" t="s">
        <v>313</v>
      </c>
      <c r="G1" s="10"/>
      <c r="H1" s="10"/>
    </row>
    <row r="2" spans="1:8" ht="22.5" customHeight="1">
      <c r="A2" s="146" t="s">
        <v>129</v>
      </c>
      <c r="B2" s="146"/>
      <c r="C2" s="146"/>
      <c r="D2" s="146"/>
      <c r="E2" s="146"/>
      <c r="F2" s="146"/>
      <c r="G2" s="146"/>
      <c r="H2" s="146"/>
    </row>
    <row r="3" spans="1:8" ht="22.5" customHeight="1" thickBot="1">
      <c r="A3" s="10"/>
      <c r="B3" s="91"/>
      <c r="C3" s="91"/>
      <c r="D3" s="91"/>
      <c r="E3" s="91"/>
      <c r="F3" s="10" t="s">
        <v>213</v>
      </c>
      <c r="G3" s="91"/>
      <c r="H3" s="91"/>
    </row>
    <row r="4" spans="1:8" ht="22.5" customHeight="1" thickTop="1">
      <c r="A4" s="147" t="s">
        <v>0</v>
      </c>
      <c r="B4" s="148"/>
      <c r="C4" s="148"/>
      <c r="D4" s="149"/>
      <c r="E4" s="154" t="s">
        <v>4</v>
      </c>
      <c r="F4" s="92" t="s">
        <v>5</v>
      </c>
      <c r="G4" s="157" t="s">
        <v>7</v>
      </c>
      <c r="H4" s="158"/>
    </row>
    <row r="5" spans="1:8" ht="22.5" customHeight="1">
      <c r="A5" s="150" t="s">
        <v>1</v>
      </c>
      <c r="B5" s="151"/>
      <c r="C5" s="152" t="s">
        <v>3</v>
      </c>
      <c r="D5" s="153"/>
      <c r="E5" s="155"/>
      <c r="F5" s="93" t="s">
        <v>6</v>
      </c>
      <c r="G5" s="150" t="s">
        <v>3</v>
      </c>
      <c r="H5" s="151"/>
    </row>
    <row r="6" spans="1:8" ht="22.5" customHeight="1" thickBot="1">
      <c r="A6" s="143" t="s">
        <v>2</v>
      </c>
      <c r="B6" s="144"/>
      <c r="C6" s="143" t="s">
        <v>2</v>
      </c>
      <c r="D6" s="144"/>
      <c r="E6" s="156"/>
      <c r="F6" s="94"/>
      <c r="G6" s="159" t="s">
        <v>2</v>
      </c>
      <c r="H6" s="160"/>
    </row>
    <row r="7" spans="1:8" ht="22.5" customHeight="1" thickTop="1">
      <c r="A7" s="25"/>
      <c r="B7" s="25"/>
      <c r="C7" s="26">
        <f>Sheet1!D1</f>
        <v>53788804</v>
      </c>
      <c r="D7" s="26" t="str">
        <f>Sheet1!E1</f>
        <v>83</v>
      </c>
      <c r="E7" s="25" t="s">
        <v>8</v>
      </c>
      <c r="F7" s="25"/>
      <c r="G7" s="27">
        <f>Sheet1!I1</f>
        <v>81853896</v>
      </c>
      <c r="H7" s="27" t="str">
        <f>Sheet1!J1</f>
        <v>90</v>
      </c>
    </row>
    <row r="8" spans="1:8" ht="22.5" customHeight="1">
      <c r="A8" s="28"/>
      <c r="B8" s="28"/>
      <c r="C8" s="29"/>
      <c r="D8" s="28"/>
      <c r="E8" s="110" t="s">
        <v>145</v>
      </c>
      <c r="F8" s="28"/>
      <c r="G8" s="28"/>
      <c r="H8" s="28"/>
    </row>
    <row r="9" spans="1:8" ht="22.5" customHeight="1">
      <c r="A9" s="29">
        <v>13710000</v>
      </c>
      <c r="B9" s="30" t="s">
        <v>144</v>
      </c>
      <c r="C9" s="29">
        <f>Sheet1!D2</f>
        <v>11863674</v>
      </c>
      <c r="D9" s="29" t="str">
        <f>Sheet1!E2</f>
        <v>96</v>
      </c>
      <c r="E9" s="28" t="s">
        <v>130</v>
      </c>
      <c r="F9" s="31" t="s">
        <v>35</v>
      </c>
      <c r="G9" s="29">
        <f>Sheet1!I2</f>
        <v>674018</v>
      </c>
      <c r="H9" s="29" t="str">
        <f>Sheet1!J2</f>
        <v>45</v>
      </c>
    </row>
    <row r="10" spans="1:8" ht="22.5" customHeight="1">
      <c r="A10" s="29">
        <v>4320000</v>
      </c>
      <c r="B10" s="30" t="s">
        <v>144</v>
      </c>
      <c r="C10" s="29">
        <f>Sheet1!D3</f>
        <v>3245561</v>
      </c>
      <c r="D10" s="29">
        <f>Sheet1!E3</f>
        <v>0</v>
      </c>
      <c r="E10" s="28" t="s">
        <v>131</v>
      </c>
      <c r="F10" s="31" t="s">
        <v>36</v>
      </c>
      <c r="G10" s="29">
        <f>Sheet1!I3</f>
        <v>294013</v>
      </c>
      <c r="H10" s="29">
        <f>Sheet1!J3</f>
        <v>0</v>
      </c>
    </row>
    <row r="11" spans="1:8" ht="22.5" customHeight="1">
      <c r="A11" s="29">
        <v>1500000</v>
      </c>
      <c r="B11" s="30" t="s">
        <v>144</v>
      </c>
      <c r="C11" s="29">
        <f>Sheet1!D4</f>
        <v>1126796</v>
      </c>
      <c r="D11" s="29" t="str">
        <f>Sheet1!E4</f>
        <v>22</v>
      </c>
      <c r="E11" s="28" t="s">
        <v>132</v>
      </c>
      <c r="F11" s="31" t="s">
        <v>37</v>
      </c>
      <c r="G11" s="29">
        <f>Sheet1!I4</f>
        <v>41942</v>
      </c>
      <c r="H11" s="29" t="str">
        <f>Sheet1!J4</f>
        <v>50</v>
      </c>
    </row>
    <row r="12" spans="1:8" ht="22.5" customHeight="1">
      <c r="A12" s="29">
        <v>1315000</v>
      </c>
      <c r="B12" s="30" t="s">
        <v>144</v>
      </c>
      <c r="C12" s="29">
        <f>Sheet1!D5</f>
        <v>380368</v>
      </c>
      <c r="D12" s="29" t="str">
        <f>Sheet1!E5</f>
        <v>20</v>
      </c>
      <c r="E12" s="28" t="s">
        <v>133</v>
      </c>
      <c r="F12" s="31" t="s">
        <v>38</v>
      </c>
      <c r="G12" s="29">
        <f>Sheet1!I5</f>
        <v>8390</v>
      </c>
      <c r="H12" s="29" t="str">
        <f>Sheet1!J5</f>
        <v>20</v>
      </c>
    </row>
    <row r="13" spans="1:8" ht="22.5" customHeight="1">
      <c r="A13" s="29">
        <v>145155000</v>
      </c>
      <c r="B13" s="30" t="s">
        <v>144</v>
      </c>
      <c r="C13" s="29">
        <f>Sheet1!D6</f>
        <v>131142381</v>
      </c>
      <c r="D13" s="29" t="str">
        <f>Sheet1!E6</f>
        <v>36</v>
      </c>
      <c r="E13" s="28" t="s">
        <v>134</v>
      </c>
      <c r="F13" s="31" t="s">
        <v>39</v>
      </c>
      <c r="G13" s="29">
        <f>Sheet1!I6</f>
        <v>9810855</v>
      </c>
      <c r="H13" s="29" t="str">
        <f>Sheet1!J6</f>
        <v>11</v>
      </c>
    </row>
    <row r="14" spans="1:8" ht="22.5" customHeight="1">
      <c r="A14" s="29">
        <v>39000000</v>
      </c>
      <c r="B14" s="30" t="s">
        <v>144</v>
      </c>
      <c r="C14" s="29">
        <f>Sheet1!D7</f>
        <v>33037576</v>
      </c>
      <c r="D14" s="29">
        <f>Sheet1!E7</f>
        <v>0</v>
      </c>
      <c r="E14" s="28" t="s">
        <v>143</v>
      </c>
      <c r="F14" s="31" t="s">
        <v>50</v>
      </c>
      <c r="G14" s="29">
        <f>Sheet1!I7</f>
        <v>9000</v>
      </c>
      <c r="H14" s="29">
        <f>Sheet1!J7</f>
        <v>0</v>
      </c>
    </row>
    <row r="15" spans="1:8" ht="22.5" customHeight="1">
      <c r="A15" s="28"/>
      <c r="B15" s="28"/>
      <c r="C15" s="29">
        <f>Sheet1!D8</f>
        <v>81109</v>
      </c>
      <c r="D15" s="29">
        <f>Sheet1!E8</f>
        <v>0</v>
      </c>
      <c r="E15" s="28" t="s">
        <v>61</v>
      </c>
      <c r="F15" s="31" t="s">
        <v>51</v>
      </c>
      <c r="G15" s="29">
        <f>Sheet1!I8</f>
        <v>4600</v>
      </c>
      <c r="H15" s="29">
        <f>Sheet1!J8</f>
        <v>0</v>
      </c>
    </row>
    <row r="16" spans="1:8" ht="22.5" customHeight="1" hidden="1">
      <c r="A16" s="28"/>
      <c r="B16" s="28"/>
      <c r="C16" s="29">
        <f>Sheet1!D9</f>
        <v>0</v>
      </c>
      <c r="D16" s="29">
        <f>Sheet1!E9</f>
        <v>0</v>
      </c>
      <c r="E16" s="28" t="s">
        <v>135</v>
      </c>
      <c r="F16" s="31" t="s">
        <v>52</v>
      </c>
      <c r="G16" s="29">
        <f>Sheet1!I9</f>
        <v>0</v>
      </c>
      <c r="H16" s="29">
        <f>Sheet1!J9</f>
        <v>0</v>
      </c>
    </row>
    <row r="17" spans="1:8" ht="22.5" customHeight="1">
      <c r="A17" s="28"/>
      <c r="B17" s="28"/>
      <c r="C17" s="29">
        <f>Sheet1!D10</f>
        <v>217368</v>
      </c>
      <c r="D17" s="29">
        <f>Sheet1!E10</f>
        <v>0</v>
      </c>
      <c r="E17" s="28" t="s">
        <v>136</v>
      </c>
      <c r="F17" s="31" t="s">
        <v>105</v>
      </c>
      <c r="G17" s="29">
        <f>Sheet1!I10</f>
        <v>12500</v>
      </c>
      <c r="H17" s="29">
        <f>Sheet1!J10</f>
        <v>0</v>
      </c>
    </row>
    <row r="18" spans="1:8" ht="22.5" customHeight="1">
      <c r="A18" s="28"/>
      <c r="B18" s="28"/>
      <c r="C18" s="29">
        <f>Sheet1!D11</f>
        <v>8149273</v>
      </c>
      <c r="D18" s="29">
        <f>Sheet1!E11</f>
        <v>0</v>
      </c>
      <c r="E18" s="28" t="s">
        <v>137</v>
      </c>
      <c r="F18" s="31" t="s">
        <v>53</v>
      </c>
      <c r="G18" s="29">
        <f>Sheet1!I11</f>
        <v>1052505</v>
      </c>
      <c r="H18" s="29">
        <f>Sheet1!J11</f>
        <v>0</v>
      </c>
    </row>
    <row r="19" spans="1:8" ht="22.5" customHeight="1">
      <c r="A19" s="28"/>
      <c r="B19" s="28"/>
      <c r="C19" s="29">
        <f>Sheet1!D12</f>
        <v>15448410</v>
      </c>
      <c r="D19" s="29">
        <f>Sheet1!E12</f>
        <v>0</v>
      </c>
      <c r="E19" s="28" t="s">
        <v>138</v>
      </c>
      <c r="F19" s="31" t="s">
        <v>102</v>
      </c>
      <c r="G19" s="29">
        <f>Sheet1!I12</f>
        <v>1367280</v>
      </c>
      <c r="H19" s="29">
        <f>Sheet1!J12</f>
        <v>0</v>
      </c>
    </row>
    <row r="20" spans="1:8" ht="22.5" customHeight="1">
      <c r="A20" s="28"/>
      <c r="B20" s="28"/>
      <c r="C20" s="29">
        <f>Sheet1!D13</f>
        <v>62000</v>
      </c>
      <c r="D20" s="29">
        <f>Sheet1!E13</f>
        <v>0</v>
      </c>
      <c r="E20" s="28" t="s">
        <v>203</v>
      </c>
      <c r="F20" s="31" t="s">
        <v>199</v>
      </c>
      <c r="G20" s="29">
        <f>Sheet1!I13</f>
        <v>9200</v>
      </c>
      <c r="H20" s="29">
        <f>Sheet1!J13</f>
        <v>0</v>
      </c>
    </row>
    <row r="21" spans="1:8" ht="22.5" customHeight="1" hidden="1">
      <c r="A21" s="28"/>
      <c r="B21" s="28"/>
      <c r="C21" s="29">
        <f>Sheet1!D14</f>
        <v>0</v>
      </c>
      <c r="D21" s="29">
        <f>Sheet1!E14</f>
        <v>0</v>
      </c>
      <c r="E21" s="28" t="s">
        <v>108</v>
      </c>
      <c r="F21" s="31" t="s">
        <v>109</v>
      </c>
      <c r="G21" s="29">
        <f>Sheet1!I14</f>
        <v>0</v>
      </c>
      <c r="H21" s="29">
        <f>Sheet1!J14</f>
        <v>0</v>
      </c>
    </row>
    <row r="22" spans="1:8" ht="22.5" customHeight="1">
      <c r="A22" s="28"/>
      <c r="B22" s="28"/>
      <c r="C22" s="29">
        <f>Sheet1!D15</f>
        <v>17037782</v>
      </c>
      <c r="D22" s="29" t="str">
        <f>Sheet1!E15</f>
        <v>27</v>
      </c>
      <c r="E22" s="28" t="s">
        <v>11</v>
      </c>
      <c r="F22" s="31" t="s">
        <v>54</v>
      </c>
      <c r="G22" s="29">
        <f>Sheet1!I15</f>
        <v>920168</v>
      </c>
      <c r="H22" s="29" t="str">
        <f>Sheet1!J15</f>
        <v>69</v>
      </c>
    </row>
    <row r="23" spans="1:8" ht="22.5" customHeight="1">
      <c r="A23" s="28"/>
      <c r="B23" s="28"/>
      <c r="C23" s="29">
        <f>Sheet1!D16</f>
        <v>8327642</v>
      </c>
      <c r="D23" s="29" t="str">
        <f>Sheet1!E16</f>
        <v>03</v>
      </c>
      <c r="E23" s="33" t="s">
        <v>12</v>
      </c>
      <c r="F23" s="31" t="s">
        <v>139</v>
      </c>
      <c r="G23" s="29">
        <f>Sheet1!I16</f>
        <v>8322468</v>
      </c>
      <c r="H23" s="29">
        <f>Sheet1!J16</f>
        <v>0</v>
      </c>
    </row>
    <row r="24" spans="1:8" ht="22.5" customHeight="1" hidden="1">
      <c r="A24" s="28"/>
      <c r="B24" s="28"/>
      <c r="C24" s="29">
        <f>Sheet1!D17</f>
        <v>0</v>
      </c>
      <c r="D24" s="29">
        <f>Sheet1!E17</f>
        <v>0</v>
      </c>
      <c r="E24" s="33" t="s">
        <v>204</v>
      </c>
      <c r="F24" s="31" t="s">
        <v>76</v>
      </c>
      <c r="G24" s="29">
        <f>Sheet1!I17</f>
        <v>0</v>
      </c>
      <c r="H24" s="29">
        <f>Sheet1!J17</f>
        <v>0</v>
      </c>
    </row>
    <row r="25" spans="1:8" ht="22.5" customHeight="1">
      <c r="A25" s="28"/>
      <c r="B25" s="28"/>
      <c r="C25" s="29">
        <f>Sheet1!D18</f>
        <v>100459</v>
      </c>
      <c r="D25" s="29">
        <f>Sheet1!E18</f>
        <v>0</v>
      </c>
      <c r="E25" s="137" t="s">
        <v>258</v>
      </c>
      <c r="F25" s="31" t="s">
        <v>140</v>
      </c>
      <c r="G25" s="29">
        <f>Sheet1!I18</f>
        <v>11200</v>
      </c>
      <c r="H25" s="29">
        <f>Sheet1!J18</f>
        <v>0</v>
      </c>
    </row>
    <row r="26" spans="1:8" ht="22.5" customHeight="1">
      <c r="A26" s="28"/>
      <c r="B26" s="28"/>
      <c r="C26" s="29">
        <f>Sheet1!D19</f>
        <v>23463174</v>
      </c>
      <c r="D26" s="29">
        <f>Sheet1!E19</f>
        <v>0</v>
      </c>
      <c r="E26" s="137" t="s">
        <v>236</v>
      </c>
      <c r="F26" s="31" t="s">
        <v>301</v>
      </c>
      <c r="G26" s="29">
        <f>Sheet1!I19</f>
        <v>600</v>
      </c>
      <c r="H26" s="29">
        <f>Sheet1!J19</f>
        <v>0</v>
      </c>
    </row>
    <row r="27" spans="1:8" ht="22.5" customHeight="1">
      <c r="A27" s="28"/>
      <c r="B27" s="28"/>
      <c r="C27" s="29">
        <f>Sheet1!D20</f>
        <v>92500</v>
      </c>
      <c r="D27" s="29">
        <f>Sheet1!E20</f>
        <v>0</v>
      </c>
      <c r="E27" s="137" t="s">
        <v>275</v>
      </c>
      <c r="F27" s="31" t="s">
        <v>140</v>
      </c>
      <c r="G27" s="29">
        <f>Sheet1!I20</f>
        <v>0</v>
      </c>
      <c r="H27" s="29">
        <f>Sheet1!J20</f>
        <v>0</v>
      </c>
    </row>
    <row r="28" spans="1:8" ht="22.5" customHeight="1">
      <c r="A28" s="28"/>
      <c r="B28" s="28"/>
      <c r="C28" s="29">
        <f>Sheet1!D21</f>
        <v>2507700</v>
      </c>
      <c r="D28" s="29">
        <f>Sheet1!E21</f>
        <v>0</v>
      </c>
      <c r="E28" s="137" t="s">
        <v>237</v>
      </c>
      <c r="F28" s="31" t="s">
        <v>301</v>
      </c>
      <c r="G28" s="29">
        <f>Sheet1!I21</f>
        <v>0</v>
      </c>
      <c r="H28" s="29">
        <f>Sheet1!J21</f>
        <v>0</v>
      </c>
    </row>
    <row r="29" spans="1:8" ht="22.5" customHeight="1">
      <c r="A29" s="28"/>
      <c r="B29" s="28"/>
      <c r="C29" s="29">
        <f>Sheet1!D22</f>
        <v>1277895</v>
      </c>
      <c r="D29" s="29">
        <f>Sheet1!E22</f>
        <v>0</v>
      </c>
      <c r="E29" s="136" t="s">
        <v>215</v>
      </c>
      <c r="F29" s="31" t="s">
        <v>216</v>
      </c>
      <c r="G29" s="29">
        <f>Sheet1!I22</f>
        <v>0</v>
      </c>
      <c r="H29" s="29">
        <f>Sheet1!J22</f>
        <v>0</v>
      </c>
    </row>
    <row r="30" spans="1:8" ht="22.5" customHeight="1">
      <c r="A30" s="28"/>
      <c r="B30" s="28"/>
      <c r="C30" s="29">
        <f>Sheet1!D23</f>
        <v>788000</v>
      </c>
      <c r="D30" s="29">
        <f>Sheet1!E23</f>
        <v>0</v>
      </c>
      <c r="E30" s="105" t="s">
        <v>277</v>
      </c>
      <c r="F30" s="31" t="s">
        <v>301</v>
      </c>
      <c r="G30" s="29">
        <f>Sheet1!I23</f>
        <v>0</v>
      </c>
      <c r="H30" s="29">
        <f>Sheet1!J23</f>
        <v>0</v>
      </c>
    </row>
    <row r="31" spans="1:8" ht="22.5" customHeight="1">
      <c r="A31" s="28"/>
      <c r="B31" s="28"/>
      <c r="C31" s="29">
        <f>Sheet1!D24</f>
        <v>372220</v>
      </c>
      <c r="D31" s="29">
        <f>Sheet1!E24</f>
        <v>0</v>
      </c>
      <c r="E31" s="105" t="s">
        <v>238</v>
      </c>
      <c r="F31" s="31" t="s">
        <v>301</v>
      </c>
      <c r="G31" s="29">
        <f>Sheet1!I24</f>
        <v>34980</v>
      </c>
      <c r="H31" s="29">
        <f>Sheet1!J24</f>
        <v>0</v>
      </c>
    </row>
    <row r="32" spans="1:8" ht="22.5" customHeight="1">
      <c r="A32" s="28"/>
      <c r="B32" s="28"/>
      <c r="C32" s="29">
        <f>Sheet1!D25</f>
        <v>545000</v>
      </c>
      <c r="D32" s="29">
        <f>Sheet1!E25</f>
        <v>0</v>
      </c>
      <c r="E32" s="105" t="s">
        <v>239</v>
      </c>
      <c r="F32" s="31" t="s">
        <v>301</v>
      </c>
      <c r="G32" s="29">
        <f>Sheet1!I25</f>
        <v>54500</v>
      </c>
      <c r="H32" s="29">
        <f>Sheet1!J25</f>
        <v>0</v>
      </c>
    </row>
    <row r="33" spans="1:8" ht="22.5" customHeight="1">
      <c r="A33" s="28"/>
      <c r="B33" s="28"/>
      <c r="C33" s="29">
        <f>Sheet1!D26</f>
        <v>27250</v>
      </c>
      <c r="D33" s="29">
        <f>Sheet1!E26</f>
        <v>0</v>
      </c>
      <c r="E33" s="105" t="s">
        <v>240</v>
      </c>
      <c r="F33" s="31" t="s">
        <v>301</v>
      </c>
      <c r="G33" s="29">
        <f>Sheet1!I26</f>
        <v>2725</v>
      </c>
      <c r="H33" s="29">
        <f>Sheet1!J26</f>
        <v>0</v>
      </c>
    </row>
    <row r="34" spans="1:8" ht="22.5" customHeight="1" hidden="1">
      <c r="A34" s="28"/>
      <c r="B34" s="28"/>
      <c r="C34" s="29">
        <f>Sheet1!D27</f>
        <v>0</v>
      </c>
      <c r="D34" s="29">
        <f>Sheet1!E27</f>
        <v>0</v>
      </c>
      <c r="E34" s="105" t="s">
        <v>241</v>
      </c>
      <c r="F34" s="31" t="s">
        <v>301</v>
      </c>
      <c r="G34" s="29">
        <f>Sheet1!I27</f>
        <v>0</v>
      </c>
      <c r="H34" s="29">
        <f>Sheet1!J27</f>
        <v>0</v>
      </c>
    </row>
    <row r="35" spans="1:8" ht="22.5" customHeight="1" hidden="1">
      <c r="A35" s="28"/>
      <c r="B35" s="28"/>
      <c r="C35" s="29">
        <f>Sheet1!D28</f>
        <v>0</v>
      </c>
      <c r="D35" s="29">
        <f>Sheet1!E28</f>
        <v>0</v>
      </c>
      <c r="E35" s="105" t="s">
        <v>242</v>
      </c>
      <c r="F35" s="31" t="s">
        <v>301</v>
      </c>
      <c r="G35" s="29">
        <f>Sheet1!I28</f>
        <v>0</v>
      </c>
      <c r="H35" s="29">
        <f>Sheet1!J28</f>
        <v>0</v>
      </c>
    </row>
    <row r="36" spans="1:8" ht="22.5" customHeight="1">
      <c r="A36" s="28"/>
      <c r="B36" s="28"/>
      <c r="C36" s="29">
        <f>Sheet1!D29</f>
        <v>3000</v>
      </c>
      <c r="D36" s="29">
        <f>Sheet1!E29</f>
        <v>0</v>
      </c>
      <c r="E36" s="105" t="s">
        <v>243</v>
      </c>
      <c r="F36" s="31" t="s">
        <v>301</v>
      </c>
      <c r="G36" s="29">
        <f>Sheet1!I29</f>
        <v>0</v>
      </c>
      <c r="H36" s="29">
        <f>Sheet1!J29</f>
        <v>0</v>
      </c>
    </row>
    <row r="37" spans="1:8" ht="22.5" customHeight="1">
      <c r="A37" s="28"/>
      <c r="B37" s="28"/>
      <c r="C37" s="29">
        <f>Sheet1!D30</f>
        <v>316458</v>
      </c>
      <c r="D37" s="29">
        <f>Sheet1!E30</f>
        <v>0</v>
      </c>
      <c r="E37" s="105" t="s">
        <v>244</v>
      </c>
      <c r="F37" s="31" t="s">
        <v>301</v>
      </c>
      <c r="G37" s="29">
        <f>Sheet1!I30</f>
        <v>0</v>
      </c>
      <c r="H37" s="29">
        <f>Sheet1!J30</f>
        <v>0</v>
      </c>
    </row>
    <row r="38" spans="1:8" ht="22.5" customHeight="1">
      <c r="A38" s="28"/>
      <c r="B38" s="28"/>
      <c r="C38" s="29">
        <f>Sheet1!D31</f>
        <v>89658</v>
      </c>
      <c r="D38" s="29">
        <f>Sheet1!E31</f>
        <v>0</v>
      </c>
      <c r="E38" s="105" t="s">
        <v>298</v>
      </c>
      <c r="F38" s="31" t="s">
        <v>140</v>
      </c>
      <c r="G38" s="29">
        <f>Sheet1!I31</f>
        <v>0</v>
      </c>
      <c r="H38" s="29">
        <f>Sheet1!J31</f>
        <v>0</v>
      </c>
    </row>
    <row r="39" spans="1:8" ht="22.5" customHeight="1">
      <c r="A39" s="28"/>
      <c r="B39" s="28"/>
      <c r="C39" s="29">
        <f>Sheet1!D32</f>
        <v>170000</v>
      </c>
      <c r="D39" s="29">
        <f>Sheet1!E32</f>
        <v>0</v>
      </c>
      <c r="E39" s="105" t="s">
        <v>245</v>
      </c>
      <c r="F39" s="31" t="s">
        <v>301</v>
      </c>
      <c r="G39" s="29">
        <f>Sheet1!I32</f>
        <v>0</v>
      </c>
      <c r="H39" s="29">
        <f>Sheet1!J32</f>
        <v>0</v>
      </c>
    </row>
    <row r="40" spans="1:8" ht="22.5" customHeight="1">
      <c r="A40" s="28"/>
      <c r="B40" s="28"/>
      <c r="C40" s="29">
        <f>Sheet1!D33</f>
        <v>52602</v>
      </c>
      <c r="D40" s="29">
        <f>Sheet1!E33</f>
        <v>0</v>
      </c>
      <c r="E40" s="105" t="s">
        <v>246</v>
      </c>
      <c r="F40" s="31" t="s">
        <v>301</v>
      </c>
      <c r="G40" s="29">
        <f>Sheet1!I33</f>
        <v>0</v>
      </c>
      <c r="H40" s="29">
        <f>Sheet1!J33</f>
        <v>0</v>
      </c>
    </row>
    <row r="41" spans="1:8" ht="22.5" customHeight="1">
      <c r="A41" s="28"/>
      <c r="B41" s="28"/>
      <c r="C41" s="29">
        <f>Sheet1!D34</f>
        <v>18422</v>
      </c>
      <c r="D41" s="29">
        <f>Sheet1!E34</f>
        <v>0</v>
      </c>
      <c r="E41" s="105" t="s">
        <v>299</v>
      </c>
      <c r="F41" s="31" t="s">
        <v>140</v>
      </c>
      <c r="G41" s="29">
        <f>Sheet1!I34</f>
        <v>0</v>
      </c>
      <c r="H41" s="29">
        <f>Sheet1!J34</f>
        <v>0</v>
      </c>
    </row>
    <row r="42" spans="1:8" ht="20.25" customHeight="1" thickBot="1">
      <c r="A42" s="161" t="s">
        <v>24</v>
      </c>
      <c r="B42" s="161"/>
      <c r="C42" s="161"/>
      <c r="D42" s="161"/>
      <c r="E42" s="161"/>
      <c r="F42" s="161"/>
      <c r="G42" s="161"/>
      <c r="H42" s="161"/>
    </row>
    <row r="43" spans="1:8" ht="21.75" customHeight="1" thickTop="1">
      <c r="A43" s="162" t="s">
        <v>0</v>
      </c>
      <c r="B43" s="163"/>
      <c r="C43" s="163"/>
      <c r="D43" s="164"/>
      <c r="E43" s="165" t="s">
        <v>4</v>
      </c>
      <c r="F43" s="142" t="s">
        <v>5</v>
      </c>
      <c r="G43" s="162" t="s">
        <v>7</v>
      </c>
      <c r="H43" s="164"/>
    </row>
    <row r="44" spans="1:8" ht="21.75" customHeight="1">
      <c r="A44" s="168" t="s">
        <v>1</v>
      </c>
      <c r="B44" s="169"/>
      <c r="C44" s="170" t="s">
        <v>3</v>
      </c>
      <c r="D44" s="171"/>
      <c r="E44" s="166"/>
      <c r="F44" s="41" t="s">
        <v>6</v>
      </c>
      <c r="G44" s="168" t="s">
        <v>3</v>
      </c>
      <c r="H44" s="169"/>
    </row>
    <row r="45" spans="1:8" ht="21.75" customHeight="1" thickBot="1">
      <c r="A45" s="172" t="s">
        <v>2</v>
      </c>
      <c r="B45" s="173"/>
      <c r="C45" s="172" t="s">
        <v>2</v>
      </c>
      <c r="D45" s="173"/>
      <c r="E45" s="167"/>
      <c r="F45" s="95"/>
      <c r="G45" s="174" t="s">
        <v>2</v>
      </c>
      <c r="H45" s="175"/>
    </row>
    <row r="46" spans="1:8" ht="22.5" customHeight="1" thickTop="1">
      <c r="A46" s="28"/>
      <c r="B46" s="28"/>
      <c r="C46" s="29">
        <f>Sheet1!D35</f>
        <v>87361</v>
      </c>
      <c r="D46" s="29">
        <f>Sheet1!E35</f>
        <v>0</v>
      </c>
      <c r="E46" s="105" t="s">
        <v>247</v>
      </c>
      <c r="F46" s="31" t="s">
        <v>301</v>
      </c>
      <c r="G46" s="29">
        <f>Sheet1!I35</f>
        <v>0</v>
      </c>
      <c r="H46" s="29">
        <f>Sheet1!J35</f>
        <v>0</v>
      </c>
    </row>
    <row r="47" spans="1:8" ht="22.5" customHeight="1">
      <c r="A47" s="28"/>
      <c r="B47" s="28"/>
      <c r="C47" s="29">
        <f>Sheet1!D36</f>
        <v>72342</v>
      </c>
      <c r="D47" s="29">
        <f>Sheet1!E36</f>
        <v>0</v>
      </c>
      <c r="E47" s="105" t="s">
        <v>248</v>
      </c>
      <c r="F47" s="31" t="s">
        <v>301</v>
      </c>
      <c r="G47" s="29">
        <f>Sheet1!I36</f>
        <v>0</v>
      </c>
      <c r="H47" s="29">
        <f>Sheet1!J36</f>
        <v>0</v>
      </c>
    </row>
    <row r="48" spans="1:8" ht="22.5" customHeight="1">
      <c r="A48" s="28"/>
      <c r="B48" s="28"/>
      <c r="C48" s="29">
        <f>Sheet1!D37</f>
        <v>23327</v>
      </c>
      <c r="D48" s="29">
        <f>Sheet1!E37</f>
        <v>0</v>
      </c>
      <c r="E48" s="105" t="s">
        <v>300</v>
      </c>
      <c r="F48" s="31" t="s">
        <v>140</v>
      </c>
      <c r="G48" s="29">
        <f>Sheet1!I37</f>
        <v>0</v>
      </c>
      <c r="H48" s="29">
        <f>Sheet1!J37</f>
        <v>0</v>
      </c>
    </row>
    <row r="49" spans="1:8" ht="22.5" customHeight="1">
      <c r="A49" s="28"/>
      <c r="B49" s="28"/>
      <c r="C49" s="29">
        <f>Sheet1!D38</f>
        <v>73637</v>
      </c>
      <c r="D49" s="29">
        <f>Sheet1!E38</f>
        <v>0</v>
      </c>
      <c r="E49" s="105" t="s">
        <v>265</v>
      </c>
      <c r="F49" s="31" t="s">
        <v>301</v>
      </c>
      <c r="G49" s="29">
        <f>Sheet1!I38</f>
        <v>0</v>
      </c>
      <c r="H49" s="29">
        <f>Sheet1!J38</f>
        <v>0</v>
      </c>
    </row>
    <row r="50" spans="1:8" ht="22.5" customHeight="1">
      <c r="A50" s="28"/>
      <c r="B50" s="28"/>
      <c r="C50" s="29">
        <f>Sheet1!D39</f>
        <v>36132</v>
      </c>
      <c r="D50" s="29">
        <f>Sheet1!E39</f>
        <v>0</v>
      </c>
      <c r="E50" s="105" t="s">
        <v>270</v>
      </c>
      <c r="F50" s="31" t="s">
        <v>140</v>
      </c>
      <c r="G50" s="29">
        <f>Sheet1!I39</f>
        <v>0</v>
      </c>
      <c r="H50" s="29">
        <f>Sheet1!J39</f>
        <v>0</v>
      </c>
    </row>
    <row r="51" spans="1:8" ht="22.5" customHeight="1">
      <c r="A51" s="28"/>
      <c r="B51" s="28"/>
      <c r="C51" s="29">
        <f>Sheet1!D40</f>
        <v>12870</v>
      </c>
      <c r="D51" s="29">
        <f>Sheet1!E40</f>
        <v>0</v>
      </c>
      <c r="E51" s="105" t="s">
        <v>289</v>
      </c>
      <c r="F51" s="31" t="s">
        <v>301</v>
      </c>
      <c r="G51" s="29">
        <f>Sheet1!I40</f>
        <v>0</v>
      </c>
      <c r="H51" s="29">
        <f>Sheet1!J40</f>
        <v>0</v>
      </c>
    </row>
    <row r="52" spans="1:8" ht="22.5" customHeight="1">
      <c r="A52" s="28"/>
      <c r="B52" s="28"/>
      <c r="C52" s="29">
        <f>Sheet1!D41</f>
        <v>16900</v>
      </c>
      <c r="D52" s="29">
        <f>Sheet1!E41</f>
        <v>0</v>
      </c>
      <c r="E52" s="105" t="s">
        <v>308</v>
      </c>
      <c r="F52" s="31" t="s">
        <v>301</v>
      </c>
      <c r="G52" s="29">
        <f>Sheet1!I41</f>
        <v>0</v>
      </c>
      <c r="H52" s="29">
        <f>Sheet1!J41</f>
        <v>0</v>
      </c>
    </row>
    <row r="53" spans="1:256" ht="22.5" customHeight="1" hidden="1">
      <c r="A53" s="28"/>
      <c r="B53" s="28"/>
      <c r="C53" s="29">
        <f>Sheet1!D42</f>
        <v>0</v>
      </c>
      <c r="D53" s="29">
        <f>Sheet1!E42</f>
        <v>0</v>
      </c>
      <c r="E53" s="105" t="s">
        <v>250</v>
      </c>
      <c r="F53" s="31" t="s">
        <v>301</v>
      </c>
      <c r="G53" s="29">
        <f>Sheet1!I42</f>
        <v>0</v>
      </c>
      <c r="H53" s="29">
        <f>Sheet1!J42</f>
        <v>0</v>
      </c>
      <c r="O53" s="24">
        <f>Sheet1!Q42</f>
        <v>0</v>
      </c>
      <c r="P53" s="24">
        <f>Sheet1!R42</f>
        <v>0</v>
      </c>
      <c r="S53" s="24">
        <f>Sheet1!T42</f>
        <v>0</v>
      </c>
      <c r="T53" s="24">
        <f>Sheet1!U42</f>
        <v>0</v>
      </c>
      <c r="U53" s="24" t="s">
        <v>186</v>
      </c>
      <c r="V53" s="24" t="s">
        <v>140</v>
      </c>
      <c r="W53" s="24">
        <f>Sheet1!Y42</f>
        <v>0</v>
      </c>
      <c r="X53" s="24">
        <f>Sheet1!Z42</f>
        <v>0</v>
      </c>
      <c r="AA53" s="24">
        <f>Sheet1!AB42</f>
        <v>0</v>
      </c>
      <c r="AB53" s="24">
        <f>Sheet1!AC42</f>
        <v>0</v>
      </c>
      <c r="AC53" s="24" t="s">
        <v>186</v>
      </c>
      <c r="AD53" s="24" t="s">
        <v>140</v>
      </c>
      <c r="AE53" s="24">
        <f>Sheet1!AG42</f>
        <v>0</v>
      </c>
      <c r="AF53" s="24">
        <f>Sheet1!AH42</f>
        <v>0</v>
      </c>
      <c r="AI53" s="24">
        <f>Sheet1!AJ42</f>
        <v>0</v>
      </c>
      <c r="AJ53" s="24">
        <f>Sheet1!AK42</f>
        <v>0</v>
      </c>
      <c r="AK53" s="24" t="s">
        <v>186</v>
      </c>
      <c r="AL53" s="24" t="s">
        <v>140</v>
      </c>
      <c r="AM53" s="24">
        <f>Sheet1!AO42</f>
        <v>0</v>
      </c>
      <c r="AN53" s="24">
        <f>Sheet1!AP42</f>
        <v>0</v>
      </c>
      <c r="AQ53" s="24">
        <f>Sheet1!AR42</f>
        <v>0</v>
      </c>
      <c r="AR53" s="24">
        <f>Sheet1!AS42</f>
        <v>0</v>
      </c>
      <c r="AS53" s="24" t="s">
        <v>186</v>
      </c>
      <c r="AT53" s="24" t="s">
        <v>140</v>
      </c>
      <c r="AU53" s="24">
        <f>Sheet1!AW42</f>
        <v>0</v>
      </c>
      <c r="AV53" s="24">
        <f>Sheet1!AX42</f>
        <v>0</v>
      </c>
      <c r="AY53" s="24">
        <f>Sheet1!AZ42</f>
        <v>0</v>
      </c>
      <c r="AZ53" s="24">
        <f>Sheet1!BA42</f>
        <v>0</v>
      </c>
      <c r="BA53" s="24" t="s">
        <v>186</v>
      </c>
      <c r="BB53" s="24" t="s">
        <v>140</v>
      </c>
      <c r="BC53" s="24">
        <f>Sheet1!BE42</f>
        <v>0</v>
      </c>
      <c r="BD53" s="24">
        <f>Sheet1!BF42</f>
        <v>0</v>
      </c>
      <c r="BG53" s="24">
        <f>Sheet1!BH42</f>
        <v>0</v>
      </c>
      <c r="BH53" s="24">
        <f>Sheet1!BI42</f>
        <v>0</v>
      </c>
      <c r="BI53" s="24" t="s">
        <v>186</v>
      </c>
      <c r="BJ53" s="24" t="s">
        <v>140</v>
      </c>
      <c r="BK53" s="24">
        <f>Sheet1!BM42</f>
        <v>0</v>
      </c>
      <c r="BL53" s="24">
        <f>Sheet1!BN42</f>
        <v>0</v>
      </c>
      <c r="BO53" s="24">
        <f>Sheet1!BP42</f>
        <v>0</v>
      </c>
      <c r="BP53" s="24">
        <f>Sheet1!BQ42</f>
        <v>0</v>
      </c>
      <c r="BQ53" s="24" t="s">
        <v>186</v>
      </c>
      <c r="BR53" s="24" t="s">
        <v>140</v>
      </c>
      <c r="BS53" s="24">
        <f>Sheet1!BU42</f>
        <v>0</v>
      </c>
      <c r="BT53" s="24">
        <f>Sheet1!BV42</f>
        <v>0</v>
      </c>
      <c r="BW53" s="24">
        <f>Sheet1!BX42</f>
        <v>0</v>
      </c>
      <c r="BX53" s="24">
        <f>Sheet1!BY42</f>
        <v>0</v>
      </c>
      <c r="BY53" s="24" t="s">
        <v>186</v>
      </c>
      <c r="BZ53" s="24" t="s">
        <v>140</v>
      </c>
      <c r="CA53" s="24">
        <f>Sheet1!CC42</f>
        <v>0</v>
      </c>
      <c r="CB53" s="24">
        <f>Sheet1!CD42</f>
        <v>0</v>
      </c>
      <c r="CE53" s="24">
        <f>Sheet1!CF42</f>
        <v>0</v>
      </c>
      <c r="CF53" s="24">
        <f>Sheet1!CG42</f>
        <v>0</v>
      </c>
      <c r="CG53" s="24" t="s">
        <v>186</v>
      </c>
      <c r="CH53" s="24" t="s">
        <v>140</v>
      </c>
      <c r="CI53" s="24">
        <f>Sheet1!CK42</f>
        <v>0</v>
      </c>
      <c r="CJ53" s="24">
        <f>Sheet1!CL42</f>
        <v>0</v>
      </c>
      <c r="CM53" s="24">
        <f>Sheet1!CN42</f>
        <v>0</v>
      </c>
      <c r="CN53" s="24">
        <f>Sheet1!CO42</f>
        <v>0</v>
      </c>
      <c r="CO53" s="24" t="s">
        <v>186</v>
      </c>
      <c r="CP53" s="24" t="s">
        <v>140</v>
      </c>
      <c r="CQ53" s="24">
        <f>Sheet1!CS42</f>
        <v>0</v>
      </c>
      <c r="CR53" s="24">
        <f>Sheet1!CT42</f>
        <v>0</v>
      </c>
      <c r="CU53" s="24">
        <f>Sheet1!CV42</f>
        <v>0</v>
      </c>
      <c r="CV53" s="24">
        <f>Sheet1!CW42</f>
        <v>0</v>
      </c>
      <c r="CW53" s="24" t="s">
        <v>186</v>
      </c>
      <c r="CX53" s="24" t="s">
        <v>140</v>
      </c>
      <c r="CY53" s="24">
        <f>Sheet1!DA42</f>
        <v>0</v>
      </c>
      <c r="CZ53" s="24">
        <f>Sheet1!DB42</f>
        <v>0</v>
      </c>
      <c r="DC53" s="24">
        <f>Sheet1!DD42</f>
        <v>0</v>
      </c>
      <c r="DD53" s="24">
        <f>Sheet1!DE42</f>
        <v>0</v>
      </c>
      <c r="DE53" s="24" t="s">
        <v>186</v>
      </c>
      <c r="DF53" s="24" t="s">
        <v>140</v>
      </c>
      <c r="DG53" s="24">
        <f>Sheet1!DI42</f>
        <v>0</v>
      </c>
      <c r="DH53" s="24">
        <f>Sheet1!DJ42</f>
        <v>0</v>
      </c>
      <c r="DK53" s="24">
        <f>Sheet1!DL42</f>
        <v>0</v>
      </c>
      <c r="DL53" s="24">
        <f>Sheet1!DM42</f>
        <v>0</v>
      </c>
      <c r="DM53" s="24" t="s">
        <v>186</v>
      </c>
      <c r="DN53" s="24" t="s">
        <v>140</v>
      </c>
      <c r="DO53" s="24">
        <f>Sheet1!DQ42</f>
        <v>0</v>
      </c>
      <c r="DP53" s="24">
        <f>Sheet1!DR42</f>
        <v>0</v>
      </c>
      <c r="DS53" s="24">
        <f>Sheet1!DT42</f>
        <v>0</v>
      </c>
      <c r="DT53" s="24">
        <f>Sheet1!DU42</f>
        <v>0</v>
      </c>
      <c r="DU53" s="24" t="s">
        <v>186</v>
      </c>
      <c r="DV53" s="24" t="s">
        <v>140</v>
      </c>
      <c r="DW53" s="24">
        <f>Sheet1!DY42</f>
        <v>0</v>
      </c>
      <c r="DX53" s="24">
        <f>Sheet1!DZ42</f>
        <v>0</v>
      </c>
      <c r="EA53" s="24">
        <f>Sheet1!EB42</f>
        <v>0</v>
      </c>
      <c r="EB53" s="24">
        <f>Sheet1!EC42</f>
        <v>0</v>
      </c>
      <c r="EC53" s="24" t="s">
        <v>186</v>
      </c>
      <c r="ED53" s="24" t="s">
        <v>140</v>
      </c>
      <c r="EE53" s="24">
        <f>Sheet1!EG42</f>
        <v>0</v>
      </c>
      <c r="EF53" s="24">
        <f>Sheet1!EH42</f>
        <v>0</v>
      </c>
      <c r="EI53" s="24">
        <f>Sheet1!EJ42</f>
        <v>0</v>
      </c>
      <c r="EJ53" s="24">
        <f>Sheet1!EK42</f>
        <v>0</v>
      </c>
      <c r="EK53" s="24" t="s">
        <v>186</v>
      </c>
      <c r="EL53" s="24" t="s">
        <v>140</v>
      </c>
      <c r="EM53" s="24">
        <f>Sheet1!EO42</f>
        <v>0</v>
      </c>
      <c r="EN53" s="24">
        <f>Sheet1!EP42</f>
        <v>0</v>
      </c>
      <c r="EQ53" s="24">
        <f>Sheet1!ER42</f>
        <v>0</v>
      </c>
      <c r="ER53" s="24">
        <f>Sheet1!ES42</f>
        <v>0</v>
      </c>
      <c r="ES53" s="24" t="s">
        <v>186</v>
      </c>
      <c r="ET53" s="24" t="s">
        <v>140</v>
      </c>
      <c r="EU53" s="24">
        <f>Sheet1!EW42</f>
        <v>0</v>
      </c>
      <c r="EV53" s="24">
        <f>Sheet1!EX42</f>
        <v>0</v>
      </c>
      <c r="EY53" s="24">
        <f>Sheet1!EZ42</f>
        <v>0</v>
      </c>
      <c r="EZ53" s="24">
        <f>Sheet1!FA42</f>
        <v>0</v>
      </c>
      <c r="FA53" s="24" t="s">
        <v>186</v>
      </c>
      <c r="FB53" s="24" t="s">
        <v>140</v>
      </c>
      <c r="FC53" s="24">
        <f>Sheet1!FE42</f>
        <v>0</v>
      </c>
      <c r="FD53" s="24">
        <f>Sheet1!FF42</f>
        <v>0</v>
      </c>
      <c r="FG53" s="24">
        <f>Sheet1!FH42</f>
        <v>0</v>
      </c>
      <c r="FH53" s="24">
        <f>Sheet1!FI42</f>
        <v>0</v>
      </c>
      <c r="FI53" s="24" t="s">
        <v>186</v>
      </c>
      <c r="FJ53" s="24" t="s">
        <v>140</v>
      </c>
      <c r="FK53" s="24">
        <f>Sheet1!FM42</f>
        <v>0</v>
      </c>
      <c r="FL53" s="24">
        <f>Sheet1!FN42</f>
        <v>0</v>
      </c>
      <c r="FO53" s="24">
        <f>Sheet1!FP42</f>
        <v>0</v>
      </c>
      <c r="FP53" s="24">
        <f>Sheet1!FQ42</f>
        <v>0</v>
      </c>
      <c r="FQ53" s="24" t="s">
        <v>186</v>
      </c>
      <c r="FR53" s="24" t="s">
        <v>140</v>
      </c>
      <c r="FS53" s="24">
        <f>Sheet1!FU42</f>
        <v>0</v>
      </c>
      <c r="FT53" s="24">
        <f>Sheet1!FV42</f>
        <v>0</v>
      </c>
      <c r="FW53" s="24">
        <f>Sheet1!FX42</f>
        <v>0</v>
      </c>
      <c r="FX53" s="24">
        <f>Sheet1!FY42</f>
        <v>0</v>
      </c>
      <c r="FY53" s="24" t="s">
        <v>186</v>
      </c>
      <c r="FZ53" s="24" t="s">
        <v>140</v>
      </c>
      <c r="GA53" s="24">
        <f>Sheet1!GC42</f>
        <v>0</v>
      </c>
      <c r="GB53" s="24">
        <f>Sheet1!GD42</f>
        <v>0</v>
      </c>
      <c r="GE53" s="24">
        <f>Sheet1!GF42</f>
        <v>0</v>
      </c>
      <c r="GF53" s="24">
        <f>Sheet1!GG42</f>
        <v>0</v>
      </c>
      <c r="GG53" s="24" t="s">
        <v>186</v>
      </c>
      <c r="GH53" s="24" t="s">
        <v>140</v>
      </c>
      <c r="GI53" s="24">
        <f>Sheet1!GK42</f>
        <v>0</v>
      </c>
      <c r="GJ53" s="24">
        <f>Sheet1!GL42</f>
        <v>0</v>
      </c>
      <c r="GM53" s="24">
        <f>Sheet1!GN42</f>
        <v>0</v>
      </c>
      <c r="GN53" s="24">
        <f>Sheet1!GO42</f>
        <v>0</v>
      </c>
      <c r="GO53" s="24" t="s">
        <v>186</v>
      </c>
      <c r="GP53" s="24" t="s">
        <v>140</v>
      </c>
      <c r="GQ53" s="24">
        <f>Sheet1!GS42</f>
        <v>0</v>
      </c>
      <c r="GR53" s="24">
        <f>Sheet1!GT42</f>
        <v>0</v>
      </c>
      <c r="GU53" s="24">
        <f>Sheet1!GV42</f>
        <v>0</v>
      </c>
      <c r="GV53" s="24">
        <f>Sheet1!GW42</f>
        <v>0</v>
      </c>
      <c r="GW53" s="24" t="s">
        <v>186</v>
      </c>
      <c r="GX53" s="24" t="s">
        <v>140</v>
      </c>
      <c r="GY53" s="24">
        <f>Sheet1!HA42</f>
        <v>0</v>
      </c>
      <c r="GZ53" s="24">
        <f>Sheet1!HB42</f>
        <v>0</v>
      </c>
      <c r="HC53" s="24">
        <f>Sheet1!HD42</f>
        <v>0</v>
      </c>
      <c r="HD53" s="24">
        <f>Sheet1!HE42</f>
        <v>0</v>
      </c>
      <c r="HE53" s="24" t="s">
        <v>186</v>
      </c>
      <c r="HF53" s="24" t="s">
        <v>140</v>
      </c>
      <c r="HG53" s="24">
        <f>Sheet1!HI42</f>
        <v>0</v>
      </c>
      <c r="HH53" s="24">
        <f>Sheet1!HJ42</f>
        <v>0</v>
      </c>
      <c r="HK53" s="24">
        <f>Sheet1!HL42</f>
        <v>0</v>
      </c>
      <c r="HL53" s="24">
        <f>Sheet1!HM42</f>
        <v>0</v>
      </c>
      <c r="HM53" s="24" t="s">
        <v>186</v>
      </c>
      <c r="HN53" s="24" t="s">
        <v>140</v>
      </c>
      <c r="HO53" s="24">
        <f>Sheet1!HQ42</f>
        <v>0</v>
      </c>
      <c r="HP53" s="24">
        <f>Sheet1!HR42</f>
        <v>0</v>
      </c>
      <c r="HS53" s="24">
        <f>Sheet1!HT42</f>
        <v>0</v>
      </c>
      <c r="HT53" s="24">
        <f>Sheet1!HU42</f>
        <v>0</v>
      </c>
      <c r="HU53" s="24" t="s">
        <v>186</v>
      </c>
      <c r="HV53" s="24" t="s">
        <v>140</v>
      </c>
      <c r="HW53" s="24">
        <f>Sheet1!HY42</f>
        <v>0</v>
      </c>
      <c r="HX53" s="24">
        <f>Sheet1!HZ42</f>
        <v>0</v>
      </c>
      <c r="IA53" s="24">
        <f>Sheet1!IB42</f>
        <v>0</v>
      </c>
      <c r="IB53" s="24">
        <f>Sheet1!IC42</f>
        <v>0</v>
      </c>
      <c r="IC53" s="24" t="s">
        <v>186</v>
      </c>
      <c r="ID53" s="24" t="s">
        <v>140</v>
      </c>
      <c r="IE53" s="24">
        <f>Sheet1!IG42</f>
        <v>0</v>
      </c>
      <c r="IF53" s="24">
        <f>Sheet1!IH42</f>
        <v>0</v>
      </c>
      <c r="II53" s="24">
        <f>Sheet1!IJ42</f>
        <v>0</v>
      </c>
      <c r="IJ53" s="24">
        <f>Sheet1!IK42</f>
        <v>0</v>
      </c>
      <c r="IK53" s="24" t="s">
        <v>186</v>
      </c>
      <c r="IL53" s="24" t="s">
        <v>140</v>
      </c>
      <c r="IM53" s="24">
        <f>Sheet1!IO42</f>
        <v>0</v>
      </c>
      <c r="IN53" s="24">
        <f>Sheet1!IP42</f>
        <v>0</v>
      </c>
      <c r="IQ53" s="24">
        <f>Sheet1!IR42</f>
        <v>0</v>
      </c>
      <c r="IR53" s="24">
        <f>Sheet1!IS42</f>
        <v>0</v>
      </c>
      <c r="IS53" s="24" t="s">
        <v>186</v>
      </c>
      <c r="IT53" s="24" t="s">
        <v>140</v>
      </c>
      <c r="IU53" s="24" t="e">
        <f>Sheet1!#REF!</f>
        <v>#REF!</v>
      </c>
      <c r="IV53" s="24" t="e">
        <f>Sheet1!#REF!</f>
        <v>#REF!</v>
      </c>
    </row>
    <row r="54" spans="1:256" ht="22.5" customHeight="1" hidden="1">
      <c r="A54" s="28"/>
      <c r="B54" s="28"/>
      <c r="C54" s="29">
        <f>Sheet1!D43</f>
        <v>0</v>
      </c>
      <c r="D54" s="29">
        <f>Sheet1!E43</f>
        <v>0</v>
      </c>
      <c r="E54" s="105" t="s">
        <v>251</v>
      </c>
      <c r="F54" s="31" t="s">
        <v>301</v>
      </c>
      <c r="G54" s="29">
        <f>Sheet1!I43</f>
        <v>0</v>
      </c>
      <c r="H54" s="29">
        <f>Sheet1!J43</f>
        <v>0</v>
      </c>
      <c r="O54" s="24">
        <f>Sheet1!Q43</f>
        <v>0</v>
      </c>
      <c r="P54" s="24">
        <f>Sheet1!R43</f>
        <v>0</v>
      </c>
      <c r="S54" s="24">
        <f>Sheet1!T43</f>
        <v>0</v>
      </c>
      <c r="T54" s="24">
        <f>Sheet1!U43</f>
        <v>0</v>
      </c>
      <c r="U54" s="24" t="s">
        <v>186</v>
      </c>
      <c r="V54" s="24" t="s">
        <v>140</v>
      </c>
      <c r="W54" s="24">
        <f>Sheet1!Y43</f>
        <v>0</v>
      </c>
      <c r="X54" s="24">
        <f>Sheet1!Z43</f>
        <v>0</v>
      </c>
      <c r="AA54" s="24">
        <f>Sheet1!AB43</f>
        <v>0</v>
      </c>
      <c r="AB54" s="24">
        <f>Sheet1!AC43</f>
        <v>0</v>
      </c>
      <c r="AC54" s="24" t="s">
        <v>186</v>
      </c>
      <c r="AD54" s="24" t="s">
        <v>140</v>
      </c>
      <c r="AE54" s="24">
        <f>Sheet1!AG43</f>
        <v>0</v>
      </c>
      <c r="AF54" s="24">
        <f>Sheet1!AH43</f>
        <v>0</v>
      </c>
      <c r="AI54" s="24">
        <f>Sheet1!AJ43</f>
        <v>0</v>
      </c>
      <c r="AJ54" s="24">
        <f>Sheet1!AK43</f>
        <v>0</v>
      </c>
      <c r="AK54" s="24" t="s">
        <v>186</v>
      </c>
      <c r="AL54" s="24" t="s">
        <v>140</v>
      </c>
      <c r="AM54" s="24">
        <f>Sheet1!AO43</f>
        <v>0</v>
      </c>
      <c r="AN54" s="24">
        <f>Sheet1!AP43</f>
        <v>0</v>
      </c>
      <c r="AQ54" s="24">
        <f>Sheet1!AR43</f>
        <v>0</v>
      </c>
      <c r="AR54" s="24">
        <f>Sheet1!AS43</f>
        <v>0</v>
      </c>
      <c r="AS54" s="24" t="s">
        <v>186</v>
      </c>
      <c r="AT54" s="24" t="s">
        <v>140</v>
      </c>
      <c r="AU54" s="24">
        <f>Sheet1!AW43</f>
        <v>0</v>
      </c>
      <c r="AV54" s="24">
        <f>Sheet1!AX43</f>
        <v>0</v>
      </c>
      <c r="AY54" s="24">
        <f>Sheet1!AZ43</f>
        <v>0</v>
      </c>
      <c r="AZ54" s="24">
        <f>Sheet1!BA43</f>
        <v>0</v>
      </c>
      <c r="BA54" s="24" t="s">
        <v>186</v>
      </c>
      <c r="BB54" s="24" t="s">
        <v>140</v>
      </c>
      <c r="BC54" s="24">
        <f>Sheet1!BE43</f>
        <v>0</v>
      </c>
      <c r="BD54" s="24">
        <f>Sheet1!BF43</f>
        <v>0</v>
      </c>
      <c r="BG54" s="24">
        <f>Sheet1!BH43</f>
        <v>0</v>
      </c>
      <c r="BH54" s="24">
        <f>Sheet1!BI43</f>
        <v>0</v>
      </c>
      <c r="BI54" s="24" t="s">
        <v>186</v>
      </c>
      <c r="BJ54" s="24" t="s">
        <v>140</v>
      </c>
      <c r="BK54" s="24">
        <f>Sheet1!BM43</f>
        <v>0</v>
      </c>
      <c r="BL54" s="24">
        <f>Sheet1!BN43</f>
        <v>0</v>
      </c>
      <c r="BO54" s="24">
        <f>Sheet1!BP43</f>
        <v>0</v>
      </c>
      <c r="BP54" s="24">
        <f>Sheet1!BQ43</f>
        <v>0</v>
      </c>
      <c r="BQ54" s="24" t="s">
        <v>186</v>
      </c>
      <c r="BR54" s="24" t="s">
        <v>140</v>
      </c>
      <c r="BS54" s="24">
        <f>Sheet1!BU43</f>
        <v>0</v>
      </c>
      <c r="BT54" s="24">
        <f>Sheet1!BV43</f>
        <v>0</v>
      </c>
      <c r="BW54" s="24">
        <f>Sheet1!BX43</f>
        <v>0</v>
      </c>
      <c r="BX54" s="24">
        <f>Sheet1!BY43</f>
        <v>0</v>
      </c>
      <c r="BY54" s="24" t="s">
        <v>186</v>
      </c>
      <c r="BZ54" s="24" t="s">
        <v>140</v>
      </c>
      <c r="CA54" s="24">
        <f>Sheet1!CC43</f>
        <v>0</v>
      </c>
      <c r="CB54" s="24">
        <f>Sheet1!CD43</f>
        <v>0</v>
      </c>
      <c r="CE54" s="24">
        <f>Sheet1!CF43</f>
        <v>0</v>
      </c>
      <c r="CF54" s="24">
        <f>Sheet1!CG43</f>
        <v>0</v>
      </c>
      <c r="CG54" s="24" t="s">
        <v>186</v>
      </c>
      <c r="CH54" s="24" t="s">
        <v>140</v>
      </c>
      <c r="CI54" s="24">
        <f>Sheet1!CK43</f>
        <v>0</v>
      </c>
      <c r="CJ54" s="24">
        <f>Sheet1!CL43</f>
        <v>0</v>
      </c>
      <c r="CM54" s="24">
        <f>Sheet1!CN43</f>
        <v>0</v>
      </c>
      <c r="CN54" s="24">
        <f>Sheet1!CO43</f>
        <v>0</v>
      </c>
      <c r="CO54" s="24" t="s">
        <v>186</v>
      </c>
      <c r="CP54" s="24" t="s">
        <v>140</v>
      </c>
      <c r="CQ54" s="24">
        <f>Sheet1!CS43</f>
        <v>0</v>
      </c>
      <c r="CR54" s="24">
        <f>Sheet1!CT43</f>
        <v>0</v>
      </c>
      <c r="CU54" s="24">
        <f>Sheet1!CV43</f>
        <v>0</v>
      </c>
      <c r="CV54" s="24">
        <f>Sheet1!CW43</f>
        <v>0</v>
      </c>
      <c r="CW54" s="24" t="s">
        <v>186</v>
      </c>
      <c r="CX54" s="24" t="s">
        <v>140</v>
      </c>
      <c r="CY54" s="24">
        <f>Sheet1!DA43</f>
        <v>0</v>
      </c>
      <c r="CZ54" s="24">
        <f>Sheet1!DB43</f>
        <v>0</v>
      </c>
      <c r="DC54" s="24">
        <f>Sheet1!DD43</f>
        <v>0</v>
      </c>
      <c r="DD54" s="24">
        <f>Sheet1!DE43</f>
        <v>0</v>
      </c>
      <c r="DE54" s="24" t="s">
        <v>186</v>
      </c>
      <c r="DF54" s="24" t="s">
        <v>140</v>
      </c>
      <c r="DG54" s="24">
        <f>Sheet1!DI43</f>
        <v>0</v>
      </c>
      <c r="DH54" s="24">
        <f>Sheet1!DJ43</f>
        <v>0</v>
      </c>
      <c r="DK54" s="24">
        <f>Sheet1!DL43</f>
        <v>0</v>
      </c>
      <c r="DL54" s="24">
        <f>Sheet1!DM43</f>
        <v>0</v>
      </c>
      <c r="DM54" s="24" t="s">
        <v>186</v>
      </c>
      <c r="DN54" s="24" t="s">
        <v>140</v>
      </c>
      <c r="DO54" s="24">
        <f>Sheet1!DQ43</f>
        <v>0</v>
      </c>
      <c r="DP54" s="24">
        <f>Sheet1!DR43</f>
        <v>0</v>
      </c>
      <c r="DS54" s="24">
        <f>Sheet1!DT43</f>
        <v>0</v>
      </c>
      <c r="DT54" s="24">
        <f>Sheet1!DU43</f>
        <v>0</v>
      </c>
      <c r="DU54" s="24" t="s">
        <v>186</v>
      </c>
      <c r="DV54" s="24" t="s">
        <v>140</v>
      </c>
      <c r="DW54" s="24">
        <f>Sheet1!DY43</f>
        <v>0</v>
      </c>
      <c r="DX54" s="24">
        <f>Sheet1!DZ43</f>
        <v>0</v>
      </c>
      <c r="EA54" s="24">
        <f>Sheet1!EB43</f>
        <v>0</v>
      </c>
      <c r="EB54" s="24">
        <f>Sheet1!EC43</f>
        <v>0</v>
      </c>
      <c r="EC54" s="24" t="s">
        <v>186</v>
      </c>
      <c r="ED54" s="24" t="s">
        <v>140</v>
      </c>
      <c r="EE54" s="24">
        <f>Sheet1!EG43</f>
        <v>0</v>
      </c>
      <c r="EF54" s="24">
        <f>Sheet1!EH43</f>
        <v>0</v>
      </c>
      <c r="EI54" s="24">
        <f>Sheet1!EJ43</f>
        <v>0</v>
      </c>
      <c r="EJ54" s="24">
        <f>Sheet1!EK43</f>
        <v>0</v>
      </c>
      <c r="EK54" s="24" t="s">
        <v>186</v>
      </c>
      <c r="EL54" s="24" t="s">
        <v>140</v>
      </c>
      <c r="EM54" s="24">
        <f>Sheet1!EO43</f>
        <v>0</v>
      </c>
      <c r="EN54" s="24">
        <f>Sheet1!EP43</f>
        <v>0</v>
      </c>
      <c r="EQ54" s="24">
        <f>Sheet1!ER43</f>
        <v>0</v>
      </c>
      <c r="ER54" s="24">
        <f>Sheet1!ES43</f>
        <v>0</v>
      </c>
      <c r="ES54" s="24" t="s">
        <v>186</v>
      </c>
      <c r="ET54" s="24" t="s">
        <v>140</v>
      </c>
      <c r="EU54" s="24">
        <f>Sheet1!EW43</f>
        <v>0</v>
      </c>
      <c r="EV54" s="24">
        <f>Sheet1!EX43</f>
        <v>0</v>
      </c>
      <c r="EY54" s="24">
        <f>Sheet1!EZ43</f>
        <v>0</v>
      </c>
      <c r="EZ54" s="24">
        <f>Sheet1!FA43</f>
        <v>0</v>
      </c>
      <c r="FA54" s="24" t="s">
        <v>186</v>
      </c>
      <c r="FB54" s="24" t="s">
        <v>140</v>
      </c>
      <c r="FC54" s="24">
        <f>Sheet1!FE43</f>
        <v>0</v>
      </c>
      <c r="FD54" s="24">
        <f>Sheet1!FF43</f>
        <v>0</v>
      </c>
      <c r="FG54" s="24">
        <f>Sheet1!FH43</f>
        <v>0</v>
      </c>
      <c r="FH54" s="24">
        <f>Sheet1!FI43</f>
        <v>0</v>
      </c>
      <c r="FI54" s="24" t="s">
        <v>186</v>
      </c>
      <c r="FJ54" s="24" t="s">
        <v>140</v>
      </c>
      <c r="FK54" s="24">
        <f>Sheet1!FM43</f>
        <v>0</v>
      </c>
      <c r="FL54" s="24">
        <f>Sheet1!FN43</f>
        <v>0</v>
      </c>
      <c r="FO54" s="24">
        <f>Sheet1!FP43</f>
        <v>0</v>
      </c>
      <c r="FP54" s="24">
        <f>Sheet1!FQ43</f>
        <v>0</v>
      </c>
      <c r="FQ54" s="24" t="s">
        <v>186</v>
      </c>
      <c r="FR54" s="24" t="s">
        <v>140</v>
      </c>
      <c r="FS54" s="24">
        <f>Sheet1!FU43</f>
        <v>0</v>
      </c>
      <c r="FT54" s="24">
        <f>Sheet1!FV43</f>
        <v>0</v>
      </c>
      <c r="FW54" s="24">
        <f>Sheet1!FX43</f>
        <v>0</v>
      </c>
      <c r="FX54" s="24">
        <f>Sheet1!FY43</f>
        <v>0</v>
      </c>
      <c r="FY54" s="24" t="s">
        <v>186</v>
      </c>
      <c r="FZ54" s="24" t="s">
        <v>140</v>
      </c>
      <c r="GA54" s="24">
        <f>Sheet1!GC43</f>
        <v>0</v>
      </c>
      <c r="GB54" s="24">
        <f>Sheet1!GD43</f>
        <v>0</v>
      </c>
      <c r="GE54" s="24">
        <f>Sheet1!GF43</f>
        <v>0</v>
      </c>
      <c r="GF54" s="24">
        <f>Sheet1!GG43</f>
        <v>0</v>
      </c>
      <c r="GG54" s="24" t="s">
        <v>186</v>
      </c>
      <c r="GH54" s="24" t="s">
        <v>140</v>
      </c>
      <c r="GI54" s="24">
        <f>Sheet1!GK43</f>
        <v>0</v>
      </c>
      <c r="GJ54" s="24">
        <f>Sheet1!GL43</f>
        <v>0</v>
      </c>
      <c r="GM54" s="24">
        <f>Sheet1!GN43</f>
        <v>0</v>
      </c>
      <c r="GN54" s="24">
        <f>Sheet1!GO43</f>
        <v>0</v>
      </c>
      <c r="GO54" s="24" t="s">
        <v>186</v>
      </c>
      <c r="GP54" s="24" t="s">
        <v>140</v>
      </c>
      <c r="GQ54" s="24">
        <f>Sheet1!GS43</f>
        <v>0</v>
      </c>
      <c r="GR54" s="24">
        <f>Sheet1!GT43</f>
        <v>0</v>
      </c>
      <c r="GU54" s="24">
        <f>Sheet1!GV43</f>
        <v>0</v>
      </c>
      <c r="GV54" s="24">
        <f>Sheet1!GW43</f>
        <v>0</v>
      </c>
      <c r="GW54" s="24" t="s">
        <v>186</v>
      </c>
      <c r="GX54" s="24" t="s">
        <v>140</v>
      </c>
      <c r="GY54" s="24">
        <f>Sheet1!HA43</f>
        <v>0</v>
      </c>
      <c r="GZ54" s="24">
        <f>Sheet1!HB43</f>
        <v>0</v>
      </c>
      <c r="HC54" s="24">
        <f>Sheet1!HD43</f>
        <v>0</v>
      </c>
      <c r="HD54" s="24">
        <f>Sheet1!HE43</f>
        <v>0</v>
      </c>
      <c r="HE54" s="24" t="s">
        <v>186</v>
      </c>
      <c r="HF54" s="24" t="s">
        <v>140</v>
      </c>
      <c r="HG54" s="24">
        <f>Sheet1!HI43</f>
        <v>0</v>
      </c>
      <c r="HH54" s="24">
        <f>Sheet1!HJ43</f>
        <v>0</v>
      </c>
      <c r="HK54" s="24">
        <f>Sheet1!HL43</f>
        <v>0</v>
      </c>
      <c r="HL54" s="24">
        <f>Sheet1!HM43</f>
        <v>0</v>
      </c>
      <c r="HM54" s="24" t="s">
        <v>186</v>
      </c>
      <c r="HN54" s="24" t="s">
        <v>140</v>
      </c>
      <c r="HO54" s="24">
        <f>Sheet1!HQ43</f>
        <v>0</v>
      </c>
      <c r="HP54" s="24">
        <f>Sheet1!HR43</f>
        <v>0</v>
      </c>
      <c r="HS54" s="24">
        <f>Sheet1!HT43</f>
        <v>0</v>
      </c>
      <c r="HT54" s="24">
        <f>Sheet1!HU43</f>
        <v>0</v>
      </c>
      <c r="HU54" s="24" t="s">
        <v>186</v>
      </c>
      <c r="HV54" s="24" t="s">
        <v>140</v>
      </c>
      <c r="HW54" s="24">
        <f>Sheet1!HY43</f>
        <v>0</v>
      </c>
      <c r="HX54" s="24">
        <f>Sheet1!HZ43</f>
        <v>0</v>
      </c>
      <c r="IA54" s="24">
        <f>Sheet1!IB43</f>
        <v>0</v>
      </c>
      <c r="IB54" s="24">
        <f>Sheet1!IC43</f>
        <v>0</v>
      </c>
      <c r="IC54" s="24" t="s">
        <v>186</v>
      </c>
      <c r="ID54" s="24" t="s">
        <v>140</v>
      </c>
      <c r="IE54" s="24">
        <f>Sheet1!IG43</f>
        <v>0</v>
      </c>
      <c r="IF54" s="24">
        <f>Sheet1!IH43</f>
        <v>0</v>
      </c>
      <c r="II54" s="24">
        <f>Sheet1!IJ43</f>
        <v>0</v>
      </c>
      <c r="IJ54" s="24">
        <f>Sheet1!IK43</f>
        <v>0</v>
      </c>
      <c r="IK54" s="24" t="s">
        <v>186</v>
      </c>
      <c r="IL54" s="24" t="s">
        <v>140</v>
      </c>
      <c r="IM54" s="24">
        <f>Sheet1!IO43</f>
        <v>0</v>
      </c>
      <c r="IN54" s="24">
        <f>Sheet1!IP43</f>
        <v>0</v>
      </c>
      <c r="IQ54" s="24">
        <f>Sheet1!IR43</f>
        <v>0</v>
      </c>
      <c r="IR54" s="24">
        <f>Sheet1!IS43</f>
        <v>0</v>
      </c>
      <c r="IS54" s="24" t="s">
        <v>186</v>
      </c>
      <c r="IT54" s="24" t="s">
        <v>140</v>
      </c>
      <c r="IU54" s="24" t="e">
        <f>Sheet1!#REF!</f>
        <v>#REF!</v>
      </c>
      <c r="IV54" s="24" t="e">
        <f>Sheet1!#REF!</f>
        <v>#REF!</v>
      </c>
    </row>
    <row r="55" spans="1:256" ht="22.5" customHeight="1" hidden="1">
      <c r="A55" s="28"/>
      <c r="B55" s="28"/>
      <c r="C55" s="29">
        <f>Sheet1!D44</f>
        <v>0</v>
      </c>
      <c r="D55" s="29">
        <f>Sheet1!E44</f>
        <v>0</v>
      </c>
      <c r="E55" s="105" t="s">
        <v>252</v>
      </c>
      <c r="F55" s="31" t="s">
        <v>301</v>
      </c>
      <c r="G55" s="29">
        <f>Sheet1!I44</f>
        <v>0</v>
      </c>
      <c r="H55" s="29">
        <f>Sheet1!J44</f>
        <v>0</v>
      </c>
      <c r="O55" s="24">
        <f>Sheet1!Q44</f>
        <v>0</v>
      </c>
      <c r="P55" s="24">
        <f>Sheet1!R44</f>
        <v>0</v>
      </c>
      <c r="S55" s="24">
        <f>Sheet1!T44</f>
        <v>0</v>
      </c>
      <c r="T55" s="24">
        <f>Sheet1!U44</f>
        <v>0</v>
      </c>
      <c r="U55" s="24" t="s">
        <v>186</v>
      </c>
      <c r="V55" s="24" t="s">
        <v>140</v>
      </c>
      <c r="W55" s="24">
        <f>Sheet1!Y44</f>
        <v>0</v>
      </c>
      <c r="X55" s="24">
        <f>Sheet1!Z44</f>
        <v>0</v>
      </c>
      <c r="AA55" s="24">
        <f>Sheet1!AB44</f>
        <v>0</v>
      </c>
      <c r="AB55" s="24">
        <f>Sheet1!AC44</f>
        <v>0</v>
      </c>
      <c r="AC55" s="24" t="s">
        <v>186</v>
      </c>
      <c r="AD55" s="24" t="s">
        <v>140</v>
      </c>
      <c r="AE55" s="24">
        <f>Sheet1!AG44</f>
        <v>0</v>
      </c>
      <c r="AF55" s="24">
        <f>Sheet1!AH44</f>
        <v>0</v>
      </c>
      <c r="AI55" s="24">
        <f>Sheet1!AJ44</f>
        <v>0</v>
      </c>
      <c r="AJ55" s="24">
        <f>Sheet1!AK44</f>
        <v>0</v>
      </c>
      <c r="AK55" s="24" t="s">
        <v>186</v>
      </c>
      <c r="AL55" s="24" t="s">
        <v>140</v>
      </c>
      <c r="AM55" s="24">
        <f>Sheet1!AO44</f>
        <v>0</v>
      </c>
      <c r="AN55" s="24">
        <f>Sheet1!AP44</f>
        <v>0</v>
      </c>
      <c r="AQ55" s="24">
        <f>Sheet1!AR44</f>
        <v>0</v>
      </c>
      <c r="AR55" s="24">
        <f>Sheet1!AS44</f>
        <v>0</v>
      </c>
      <c r="AS55" s="24" t="s">
        <v>186</v>
      </c>
      <c r="AT55" s="24" t="s">
        <v>140</v>
      </c>
      <c r="AU55" s="24">
        <f>Sheet1!AW44</f>
        <v>0</v>
      </c>
      <c r="AV55" s="24">
        <f>Sheet1!AX44</f>
        <v>0</v>
      </c>
      <c r="AY55" s="24">
        <f>Sheet1!AZ44</f>
        <v>0</v>
      </c>
      <c r="AZ55" s="24">
        <f>Sheet1!BA44</f>
        <v>0</v>
      </c>
      <c r="BA55" s="24" t="s">
        <v>186</v>
      </c>
      <c r="BB55" s="24" t="s">
        <v>140</v>
      </c>
      <c r="BC55" s="24">
        <f>Sheet1!BE44</f>
        <v>0</v>
      </c>
      <c r="BD55" s="24">
        <f>Sheet1!BF44</f>
        <v>0</v>
      </c>
      <c r="BG55" s="24">
        <f>Sheet1!BH44</f>
        <v>0</v>
      </c>
      <c r="BH55" s="24">
        <f>Sheet1!BI44</f>
        <v>0</v>
      </c>
      <c r="BI55" s="24" t="s">
        <v>186</v>
      </c>
      <c r="BJ55" s="24" t="s">
        <v>140</v>
      </c>
      <c r="BK55" s="24">
        <f>Sheet1!BM44</f>
        <v>0</v>
      </c>
      <c r="BL55" s="24">
        <f>Sheet1!BN44</f>
        <v>0</v>
      </c>
      <c r="BO55" s="24">
        <f>Sheet1!BP44</f>
        <v>0</v>
      </c>
      <c r="BP55" s="24">
        <f>Sheet1!BQ44</f>
        <v>0</v>
      </c>
      <c r="BQ55" s="24" t="s">
        <v>186</v>
      </c>
      <c r="BR55" s="24" t="s">
        <v>140</v>
      </c>
      <c r="BS55" s="24">
        <f>Sheet1!BU44</f>
        <v>0</v>
      </c>
      <c r="BT55" s="24">
        <f>Sheet1!BV44</f>
        <v>0</v>
      </c>
      <c r="BW55" s="24">
        <f>Sheet1!BX44</f>
        <v>0</v>
      </c>
      <c r="BX55" s="24">
        <f>Sheet1!BY44</f>
        <v>0</v>
      </c>
      <c r="BY55" s="24" t="s">
        <v>186</v>
      </c>
      <c r="BZ55" s="24" t="s">
        <v>140</v>
      </c>
      <c r="CA55" s="24">
        <f>Sheet1!CC44</f>
        <v>0</v>
      </c>
      <c r="CB55" s="24">
        <f>Sheet1!CD44</f>
        <v>0</v>
      </c>
      <c r="CE55" s="24">
        <f>Sheet1!CF44</f>
        <v>0</v>
      </c>
      <c r="CF55" s="24">
        <f>Sheet1!CG44</f>
        <v>0</v>
      </c>
      <c r="CG55" s="24" t="s">
        <v>186</v>
      </c>
      <c r="CH55" s="24" t="s">
        <v>140</v>
      </c>
      <c r="CI55" s="24">
        <f>Sheet1!CK44</f>
        <v>0</v>
      </c>
      <c r="CJ55" s="24">
        <f>Sheet1!CL44</f>
        <v>0</v>
      </c>
      <c r="CM55" s="24">
        <f>Sheet1!CN44</f>
        <v>0</v>
      </c>
      <c r="CN55" s="24">
        <f>Sheet1!CO44</f>
        <v>0</v>
      </c>
      <c r="CO55" s="24" t="s">
        <v>186</v>
      </c>
      <c r="CP55" s="24" t="s">
        <v>140</v>
      </c>
      <c r="CQ55" s="24">
        <f>Sheet1!CS44</f>
        <v>0</v>
      </c>
      <c r="CR55" s="24">
        <f>Sheet1!CT44</f>
        <v>0</v>
      </c>
      <c r="CU55" s="24">
        <f>Sheet1!CV44</f>
        <v>0</v>
      </c>
      <c r="CV55" s="24">
        <f>Sheet1!CW44</f>
        <v>0</v>
      </c>
      <c r="CW55" s="24" t="s">
        <v>186</v>
      </c>
      <c r="CX55" s="24" t="s">
        <v>140</v>
      </c>
      <c r="CY55" s="24">
        <f>Sheet1!DA44</f>
        <v>0</v>
      </c>
      <c r="CZ55" s="24">
        <f>Sheet1!DB44</f>
        <v>0</v>
      </c>
      <c r="DC55" s="24">
        <f>Sheet1!DD44</f>
        <v>0</v>
      </c>
      <c r="DD55" s="24">
        <f>Sheet1!DE44</f>
        <v>0</v>
      </c>
      <c r="DE55" s="24" t="s">
        <v>186</v>
      </c>
      <c r="DF55" s="24" t="s">
        <v>140</v>
      </c>
      <c r="DG55" s="24">
        <f>Sheet1!DI44</f>
        <v>0</v>
      </c>
      <c r="DH55" s="24">
        <f>Sheet1!DJ44</f>
        <v>0</v>
      </c>
      <c r="DK55" s="24">
        <f>Sheet1!DL44</f>
        <v>0</v>
      </c>
      <c r="DL55" s="24">
        <f>Sheet1!DM44</f>
        <v>0</v>
      </c>
      <c r="DM55" s="24" t="s">
        <v>186</v>
      </c>
      <c r="DN55" s="24" t="s">
        <v>140</v>
      </c>
      <c r="DO55" s="24">
        <f>Sheet1!DQ44</f>
        <v>0</v>
      </c>
      <c r="DP55" s="24">
        <f>Sheet1!DR44</f>
        <v>0</v>
      </c>
      <c r="DS55" s="24">
        <f>Sheet1!DT44</f>
        <v>0</v>
      </c>
      <c r="DT55" s="24">
        <f>Sheet1!DU44</f>
        <v>0</v>
      </c>
      <c r="DU55" s="24" t="s">
        <v>186</v>
      </c>
      <c r="DV55" s="24" t="s">
        <v>140</v>
      </c>
      <c r="DW55" s="24">
        <f>Sheet1!DY44</f>
        <v>0</v>
      </c>
      <c r="DX55" s="24">
        <f>Sheet1!DZ44</f>
        <v>0</v>
      </c>
      <c r="EA55" s="24">
        <f>Sheet1!EB44</f>
        <v>0</v>
      </c>
      <c r="EB55" s="24">
        <f>Sheet1!EC44</f>
        <v>0</v>
      </c>
      <c r="EC55" s="24" t="s">
        <v>186</v>
      </c>
      <c r="ED55" s="24" t="s">
        <v>140</v>
      </c>
      <c r="EE55" s="24">
        <f>Sheet1!EG44</f>
        <v>0</v>
      </c>
      <c r="EF55" s="24">
        <f>Sheet1!EH44</f>
        <v>0</v>
      </c>
      <c r="EI55" s="24">
        <f>Sheet1!EJ44</f>
        <v>0</v>
      </c>
      <c r="EJ55" s="24">
        <f>Sheet1!EK44</f>
        <v>0</v>
      </c>
      <c r="EK55" s="24" t="s">
        <v>186</v>
      </c>
      <c r="EL55" s="24" t="s">
        <v>140</v>
      </c>
      <c r="EM55" s="24">
        <f>Sheet1!EO44</f>
        <v>0</v>
      </c>
      <c r="EN55" s="24">
        <f>Sheet1!EP44</f>
        <v>0</v>
      </c>
      <c r="EQ55" s="24">
        <f>Sheet1!ER44</f>
        <v>0</v>
      </c>
      <c r="ER55" s="24">
        <f>Sheet1!ES44</f>
        <v>0</v>
      </c>
      <c r="ES55" s="24" t="s">
        <v>186</v>
      </c>
      <c r="ET55" s="24" t="s">
        <v>140</v>
      </c>
      <c r="EU55" s="24">
        <f>Sheet1!EW44</f>
        <v>0</v>
      </c>
      <c r="EV55" s="24">
        <f>Sheet1!EX44</f>
        <v>0</v>
      </c>
      <c r="EY55" s="24">
        <f>Sheet1!EZ44</f>
        <v>0</v>
      </c>
      <c r="EZ55" s="24">
        <f>Sheet1!FA44</f>
        <v>0</v>
      </c>
      <c r="FA55" s="24" t="s">
        <v>186</v>
      </c>
      <c r="FB55" s="24" t="s">
        <v>140</v>
      </c>
      <c r="FC55" s="24">
        <f>Sheet1!FE44</f>
        <v>0</v>
      </c>
      <c r="FD55" s="24">
        <f>Sheet1!FF44</f>
        <v>0</v>
      </c>
      <c r="FG55" s="24">
        <f>Sheet1!FH44</f>
        <v>0</v>
      </c>
      <c r="FH55" s="24">
        <f>Sheet1!FI44</f>
        <v>0</v>
      </c>
      <c r="FI55" s="24" t="s">
        <v>186</v>
      </c>
      <c r="FJ55" s="24" t="s">
        <v>140</v>
      </c>
      <c r="FK55" s="24">
        <f>Sheet1!FM44</f>
        <v>0</v>
      </c>
      <c r="FL55" s="24">
        <f>Sheet1!FN44</f>
        <v>0</v>
      </c>
      <c r="FO55" s="24">
        <f>Sheet1!FP44</f>
        <v>0</v>
      </c>
      <c r="FP55" s="24">
        <f>Sheet1!FQ44</f>
        <v>0</v>
      </c>
      <c r="FQ55" s="24" t="s">
        <v>186</v>
      </c>
      <c r="FR55" s="24" t="s">
        <v>140</v>
      </c>
      <c r="FS55" s="24">
        <f>Sheet1!FU44</f>
        <v>0</v>
      </c>
      <c r="FT55" s="24">
        <f>Sheet1!FV44</f>
        <v>0</v>
      </c>
      <c r="FW55" s="24">
        <f>Sheet1!FX44</f>
        <v>0</v>
      </c>
      <c r="FX55" s="24">
        <f>Sheet1!FY44</f>
        <v>0</v>
      </c>
      <c r="FY55" s="24" t="s">
        <v>186</v>
      </c>
      <c r="FZ55" s="24" t="s">
        <v>140</v>
      </c>
      <c r="GA55" s="24">
        <f>Sheet1!GC44</f>
        <v>0</v>
      </c>
      <c r="GB55" s="24">
        <f>Sheet1!GD44</f>
        <v>0</v>
      </c>
      <c r="GE55" s="24">
        <f>Sheet1!GF44</f>
        <v>0</v>
      </c>
      <c r="GF55" s="24">
        <f>Sheet1!GG44</f>
        <v>0</v>
      </c>
      <c r="GG55" s="24" t="s">
        <v>186</v>
      </c>
      <c r="GH55" s="24" t="s">
        <v>140</v>
      </c>
      <c r="GI55" s="24">
        <f>Sheet1!GK44</f>
        <v>0</v>
      </c>
      <c r="GJ55" s="24">
        <f>Sheet1!GL44</f>
        <v>0</v>
      </c>
      <c r="GM55" s="24">
        <f>Sheet1!GN44</f>
        <v>0</v>
      </c>
      <c r="GN55" s="24">
        <f>Sheet1!GO44</f>
        <v>0</v>
      </c>
      <c r="GO55" s="24" t="s">
        <v>186</v>
      </c>
      <c r="GP55" s="24" t="s">
        <v>140</v>
      </c>
      <c r="GQ55" s="24">
        <f>Sheet1!GS44</f>
        <v>0</v>
      </c>
      <c r="GR55" s="24">
        <f>Sheet1!GT44</f>
        <v>0</v>
      </c>
      <c r="GU55" s="24">
        <f>Sheet1!GV44</f>
        <v>0</v>
      </c>
      <c r="GV55" s="24">
        <f>Sheet1!GW44</f>
        <v>0</v>
      </c>
      <c r="GW55" s="24" t="s">
        <v>186</v>
      </c>
      <c r="GX55" s="24" t="s">
        <v>140</v>
      </c>
      <c r="GY55" s="24">
        <f>Sheet1!HA44</f>
        <v>0</v>
      </c>
      <c r="GZ55" s="24">
        <f>Sheet1!HB44</f>
        <v>0</v>
      </c>
      <c r="HC55" s="24">
        <f>Sheet1!HD44</f>
        <v>0</v>
      </c>
      <c r="HD55" s="24">
        <f>Sheet1!HE44</f>
        <v>0</v>
      </c>
      <c r="HE55" s="24" t="s">
        <v>186</v>
      </c>
      <c r="HF55" s="24" t="s">
        <v>140</v>
      </c>
      <c r="HG55" s="24">
        <f>Sheet1!HI44</f>
        <v>0</v>
      </c>
      <c r="HH55" s="24">
        <f>Sheet1!HJ44</f>
        <v>0</v>
      </c>
      <c r="HK55" s="24">
        <f>Sheet1!HL44</f>
        <v>0</v>
      </c>
      <c r="HL55" s="24">
        <f>Sheet1!HM44</f>
        <v>0</v>
      </c>
      <c r="HM55" s="24" t="s">
        <v>186</v>
      </c>
      <c r="HN55" s="24" t="s">
        <v>140</v>
      </c>
      <c r="HO55" s="24">
        <f>Sheet1!HQ44</f>
        <v>0</v>
      </c>
      <c r="HP55" s="24">
        <f>Sheet1!HR44</f>
        <v>0</v>
      </c>
      <c r="HS55" s="24">
        <f>Sheet1!HT44</f>
        <v>0</v>
      </c>
      <c r="HT55" s="24">
        <f>Sheet1!HU44</f>
        <v>0</v>
      </c>
      <c r="HU55" s="24" t="s">
        <v>186</v>
      </c>
      <c r="HV55" s="24" t="s">
        <v>140</v>
      </c>
      <c r="HW55" s="24">
        <f>Sheet1!HY44</f>
        <v>0</v>
      </c>
      <c r="HX55" s="24">
        <f>Sheet1!HZ44</f>
        <v>0</v>
      </c>
      <c r="IA55" s="24">
        <f>Sheet1!IB44</f>
        <v>0</v>
      </c>
      <c r="IB55" s="24">
        <f>Sheet1!IC44</f>
        <v>0</v>
      </c>
      <c r="IC55" s="24" t="s">
        <v>186</v>
      </c>
      <c r="ID55" s="24" t="s">
        <v>140</v>
      </c>
      <c r="IE55" s="24">
        <f>Sheet1!IG44</f>
        <v>0</v>
      </c>
      <c r="IF55" s="24">
        <f>Sheet1!IH44</f>
        <v>0</v>
      </c>
      <c r="II55" s="24">
        <f>Sheet1!IJ44</f>
        <v>0</v>
      </c>
      <c r="IJ55" s="24">
        <f>Sheet1!IK44</f>
        <v>0</v>
      </c>
      <c r="IK55" s="24" t="s">
        <v>186</v>
      </c>
      <c r="IL55" s="24" t="s">
        <v>140</v>
      </c>
      <c r="IM55" s="24">
        <f>Sheet1!IO44</f>
        <v>0</v>
      </c>
      <c r="IN55" s="24">
        <f>Sheet1!IP44</f>
        <v>0</v>
      </c>
      <c r="IQ55" s="24">
        <f>Sheet1!IR44</f>
        <v>0</v>
      </c>
      <c r="IR55" s="24">
        <f>Sheet1!IS44</f>
        <v>0</v>
      </c>
      <c r="IS55" s="24" t="s">
        <v>186</v>
      </c>
      <c r="IT55" s="24" t="s">
        <v>140</v>
      </c>
      <c r="IU55" s="24" t="e">
        <f>Sheet1!#REF!</f>
        <v>#REF!</v>
      </c>
      <c r="IV55" s="24" t="e">
        <f>Sheet1!#REF!</f>
        <v>#REF!</v>
      </c>
    </row>
    <row r="56" spans="1:8" ht="22.5" customHeight="1">
      <c r="A56" s="28"/>
      <c r="B56" s="28"/>
      <c r="C56" s="29">
        <f>Sheet1!D45</f>
        <v>59500</v>
      </c>
      <c r="D56" s="29">
        <f>Sheet1!E45</f>
        <v>0</v>
      </c>
      <c r="E56" s="105" t="s">
        <v>253</v>
      </c>
      <c r="F56" s="31" t="s">
        <v>301</v>
      </c>
      <c r="G56" s="29">
        <f>Sheet1!I45</f>
        <v>0</v>
      </c>
      <c r="H56" s="29">
        <f>Sheet1!J45</f>
        <v>0</v>
      </c>
    </row>
    <row r="57" spans="1:8" ht="22.5" customHeight="1" hidden="1">
      <c r="A57" s="28"/>
      <c r="B57" s="28"/>
      <c r="C57" s="29">
        <f>Sheet1!D46</f>
        <v>0</v>
      </c>
      <c r="D57" s="29">
        <f>Sheet1!E46</f>
        <v>0</v>
      </c>
      <c r="E57" s="105" t="s">
        <v>254</v>
      </c>
      <c r="F57" s="31" t="s">
        <v>301</v>
      </c>
      <c r="G57" s="29">
        <f>Sheet1!I46</f>
        <v>0</v>
      </c>
      <c r="H57" s="29">
        <f>Sheet1!J46</f>
        <v>0</v>
      </c>
    </row>
    <row r="58" spans="1:8" ht="22.5" customHeight="1" hidden="1">
      <c r="A58" s="28"/>
      <c r="B58" s="28"/>
      <c r="C58" s="29">
        <f>Sheet1!D47</f>
        <v>0</v>
      </c>
      <c r="D58" s="29">
        <f>Sheet1!E47</f>
        <v>0</v>
      </c>
      <c r="E58" s="33" t="s">
        <v>164</v>
      </c>
      <c r="F58" s="31" t="s">
        <v>165</v>
      </c>
      <c r="G58" s="29">
        <f>Sheet1!I47</f>
        <v>0</v>
      </c>
      <c r="H58" s="29">
        <f>Sheet1!J47</f>
        <v>0</v>
      </c>
    </row>
    <row r="59" spans="1:8" ht="22.5" customHeight="1" hidden="1">
      <c r="A59" s="28"/>
      <c r="B59" s="28"/>
      <c r="C59" s="29">
        <f>Sheet1!D48</f>
        <v>0</v>
      </c>
      <c r="D59" s="29">
        <f>Sheet1!E48</f>
        <v>0</v>
      </c>
      <c r="E59" s="33" t="s">
        <v>121</v>
      </c>
      <c r="F59" s="31" t="s">
        <v>112</v>
      </c>
      <c r="G59" s="29">
        <f>Sheet1!I48</f>
        <v>0</v>
      </c>
      <c r="H59" s="29">
        <f>Sheet1!J48</f>
        <v>0</v>
      </c>
    </row>
    <row r="60" spans="1:8" ht="22.5" customHeight="1" hidden="1">
      <c r="A60" s="28"/>
      <c r="B60" s="28"/>
      <c r="C60" s="29">
        <f>Sheet1!D49</f>
        <v>0</v>
      </c>
      <c r="D60" s="29">
        <f>Sheet1!E49</f>
        <v>0</v>
      </c>
      <c r="E60" s="33" t="s">
        <v>22</v>
      </c>
      <c r="F60" s="31" t="s">
        <v>48</v>
      </c>
      <c r="G60" s="29">
        <f>Sheet1!I49</f>
        <v>0</v>
      </c>
      <c r="H60" s="29">
        <f>Sheet1!J49</f>
        <v>0</v>
      </c>
    </row>
    <row r="61" spans="1:8" ht="22.5" customHeight="1" hidden="1">
      <c r="A61" s="28"/>
      <c r="B61" s="28"/>
      <c r="C61" s="29">
        <f>Sheet1!D50</f>
        <v>0</v>
      </c>
      <c r="D61" s="29">
        <f>Sheet1!E50</f>
        <v>0</v>
      </c>
      <c r="E61" s="33" t="s">
        <v>33</v>
      </c>
      <c r="F61" s="31" t="s">
        <v>74</v>
      </c>
      <c r="G61" s="29">
        <f>Sheet1!I50</f>
        <v>0</v>
      </c>
      <c r="H61" s="29">
        <f>Sheet1!J50</f>
        <v>0</v>
      </c>
    </row>
    <row r="62" spans="1:8" ht="22.5" customHeight="1">
      <c r="A62" s="28"/>
      <c r="B62" s="28"/>
      <c r="C62" s="29">
        <f>Sheet1!D51</f>
        <v>500</v>
      </c>
      <c r="D62" s="29">
        <f>Sheet1!E51</f>
        <v>0</v>
      </c>
      <c r="E62" s="33" t="s">
        <v>14</v>
      </c>
      <c r="F62" s="61" t="s">
        <v>71</v>
      </c>
      <c r="G62" s="29">
        <f>Sheet1!I51</f>
        <v>500</v>
      </c>
      <c r="H62" s="29">
        <f>Sheet1!J51</f>
        <v>0</v>
      </c>
    </row>
    <row r="63" spans="1:8" ht="22.5" customHeight="1">
      <c r="A63" s="28"/>
      <c r="B63" s="28"/>
      <c r="C63" s="29">
        <f>Sheet1!D52</f>
        <v>1680</v>
      </c>
      <c r="D63" s="29">
        <f>Sheet1!E52</f>
        <v>0</v>
      </c>
      <c r="E63" s="33" t="s">
        <v>196</v>
      </c>
      <c r="F63" s="31" t="s">
        <v>75</v>
      </c>
      <c r="G63" s="29">
        <f>Sheet1!I52</f>
        <v>0</v>
      </c>
      <c r="H63" s="29">
        <f>Sheet1!J52</f>
        <v>0</v>
      </c>
    </row>
    <row r="64" spans="1:8" ht="22.5" customHeight="1">
      <c r="A64" s="28"/>
      <c r="B64" s="28"/>
      <c r="C64" s="29">
        <f>Sheet1!D53</f>
        <v>768</v>
      </c>
      <c r="D64" s="29" t="str">
        <f>Sheet1!E53</f>
        <v>67</v>
      </c>
      <c r="E64" s="33" t="s">
        <v>15</v>
      </c>
      <c r="F64" s="31" t="s">
        <v>41</v>
      </c>
      <c r="G64" s="29">
        <f>Sheet1!I53</f>
        <v>0</v>
      </c>
      <c r="H64" s="29">
        <f>Sheet1!J53</f>
        <v>0</v>
      </c>
    </row>
    <row r="65" spans="1:8" ht="22.5" customHeight="1" hidden="1">
      <c r="A65" s="28"/>
      <c r="B65" s="28"/>
      <c r="C65" s="29">
        <f>Sheet1!D54</f>
        <v>0</v>
      </c>
      <c r="D65" s="29">
        <f>Sheet1!E54</f>
        <v>0</v>
      </c>
      <c r="E65" s="33" t="s">
        <v>16</v>
      </c>
      <c r="F65" s="31" t="s">
        <v>42</v>
      </c>
      <c r="G65" s="29">
        <f>Sheet1!I54</f>
        <v>0</v>
      </c>
      <c r="H65" s="29">
        <f>Sheet1!J54</f>
        <v>0</v>
      </c>
    </row>
    <row r="66" spans="1:8" ht="22.5" customHeight="1" hidden="1">
      <c r="A66" s="28"/>
      <c r="B66" s="28"/>
      <c r="C66" s="29">
        <f>Sheet1!D55</f>
        <v>0</v>
      </c>
      <c r="D66" s="29">
        <f>Sheet1!E55</f>
        <v>0</v>
      </c>
      <c r="E66" s="33" t="s">
        <v>17</v>
      </c>
      <c r="F66" s="31" t="s">
        <v>43</v>
      </c>
      <c r="G66" s="29">
        <f>Sheet1!I55</f>
        <v>0</v>
      </c>
      <c r="H66" s="29">
        <f>Sheet1!J55</f>
        <v>0</v>
      </c>
    </row>
    <row r="67" spans="1:8" ht="22.5" customHeight="1" hidden="1">
      <c r="A67" s="28"/>
      <c r="B67" s="28"/>
      <c r="C67" s="29">
        <f>Sheet1!D56</f>
        <v>0</v>
      </c>
      <c r="D67" s="29">
        <f>Sheet1!E56</f>
        <v>0</v>
      </c>
      <c r="E67" s="33" t="s">
        <v>19</v>
      </c>
      <c r="F67" s="39" t="s">
        <v>45</v>
      </c>
      <c r="G67" s="29">
        <f>Sheet1!I56</f>
        <v>0</v>
      </c>
      <c r="H67" s="29">
        <f>Sheet1!J56</f>
        <v>0</v>
      </c>
    </row>
    <row r="68" spans="1:8" ht="22.5" customHeight="1" hidden="1">
      <c r="A68" s="28"/>
      <c r="B68" s="28"/>
      <c r="C68" s="29">
        <f>Sheet1!D57</f>
        <v>0</v>
      </c>
      <c r="D68" s="29">
        <f>Sheet1!E57</f>
        <v>0</v>
      </c>
      <c r="E68" s="33" t="s">
        <v>10</v>
      </c>
      <c r="F68" s="39" t="s">
        <v>97</v>
      </c>
      <c r="G68" s="29">
        <f>Sheet1!I57</f>
        <v>0</v>
      </c>
      <c r="H68" s="29">
        <f>Sheet1!J57</f>
        <v>0</v>
      </c>
    </row>
    <row r="69" spans="1:8" ht="22.5" customHeight="1" hidden="1">
      <c r="A69" s="28"/>
      <c r="B69" s="28"/>
      <c r="C69" s="29">
        <f>Sheet1!D58</f>
        <v>0</v>
      </c>
      <c r="D69" s="29">
        <f>Sheet1!E58</f>
        <v>0</v>
      </c>
      <c r="E69" s="33" t="s">
        <v>153</v>
      </c>
      <c r="F69" s="31" t="s">
        <v>155</v>
      </c>
      <c r="G69" s="29">
        <f>Sheet1!I58</f>
        <v>0</v>
      </c>
      <c r="H69" s="29">
        <f>Sheet1!J58</f>
        <v>0</v>
      </c>
    </row>
    <row r="70" spans="1:8" ht="24" customHeight="1" thickBot="1">
      <c r="A70" s="106">
        <f>SUM(A9:A69)</f>
        <v>205000000</v>
      </c>
      <c r="B70" s="106">
        <f>SUM(B9:B69)</f>
        <v>0</v>
      </c>
      <c r="C70" s="107">
        <f>Sheet1!D62</f>
        <v>260329297</v>
      </c>
      <c r="D70" s="107" t="str">
        <f>Sheet1!E62</f>
        <v>71</v>
      </c>
      <c r="E70" s="11" t="s">
        <v>28</v>
      </c>
      <c r="F70" s="108"/>
      <c r="G70" s="107">
        <f>Sheet1!I62</f>
        <v>22631445</v>
      </c>
      <c r="H70" s="107" t="str">
        <f>Sheet1!J62</f>
        <v>95</v>
      </c>
    </row>
    <row r="71" spans="1:8" ht="22.5" customHeight="1" thickTop="1">
      <c r="A71" s="35"/>
      <c r="B71" s="35"/>
      <c r="C71" s="36"/>
      <c r="D71" s="36"/>
      <c r="E71" s="111" t="s">
        <v>13</v>
      </c>
      <c r="F71" s="35"/>
      <c r="G71" s="37"/>
      <c r="H71" s="37"/>
    </row>
    <row r="72" spans="1:8" ht="22.5" customHeight="1">
      <c r="A72" s="38">
        <v>19081910</v>
      </c>
      <c r="B72" s="30" t="s">
        <v>144</v>
      </c>
      <c r="C72" s="38">
        <f>Sheet1!D64</f>
        <v>18155419</v>
      </c>
      <c r="D72" s="38" t="str">
        <f>Sheet1!E64</f>
        <v>86</v>
      </c>
      <c r="E72" s="32" t="s">
        <v>14</v>
      </c>
      <c r="F72" s="61" t="s">
        <v>71</v>
      </c>
      <c r="G72" s="38">
        <f>Sheet1!I64</f>
        <v>11392082</v>
      </c>
      <c r="H72" s="38" t="str">
        <f>Sheet1!J64</f>
        <v>21</v>
      </c>
    </row>
    <row r="73" spans="1:8" ht="22.5" customHeight="1">
      <c r="A73" s="38">
        <v>4426920</v>
      </c>
      <c r="B73" s="30" t="s">
        <v>144</v>
      </c>
      <c r="C73" s="38">
        <f>Sheet1!D65</f>
        <v>3302244</v>
      </c>
      <c r="D73" s="38" t="str">
        <f>Sheet1!E65</f>
        <v>74</v>
      </c>
      <c r="E73" s="32" t="s">
        <v>195</v>
      </c>
      <c r="F73" s="61" t="s">
        <v>75</v>
      </c>
      <c r="G73" s="38">
        <f>Sheet1!I65</f>
        <v>358079</v>
      </c>
      <c r="H73" s="38" t="str">
        <f>Sheet1!J65</f>
        <v>03</v>
      </c>
    </row>
    <row r="74" spans="1:8" ht="22.5" customHeight="1">
      <c r="A74" s="38">
        <v>24345580</v>
      </c>
      <c r="B74" s="30" t="s">
        <v>144</v>
      </c>
      <c r="C74" s="38">
        <f>Sheet1!D66</f>
        <v>17994490</v>
      </c>
      <c r="D74" s="38" t="str">
        <f>Sheet1!E66</f>
        <v>62</v>
      </c>
      <c r="E74" s="32" t="s">
        <v>196</v>
      </c>
      <c r="F74" s="61" t="s">
        <v>75</v>
      </c>
      <c r="G74" s="38">
        <f>Sheet1!I66</f>
        <v>1685116</v>
      </c>
      <c r="H74" s="38" t="str">
        <f>Sheet1!J66</f>
        <v>87</v>
      </c>
    </row>
    <row r="75" spans="1:8" ht="22.5" customHeight="1">
      <c r="A75" s="38">
        <v>846150</v>
      </c>
      <c r="B75" s="30" t="s">
        <v>144</v>
      </c>
      <c r="C75" s="38">
        <f>Sheet1!D67</f>
        <v>852280</v>
      </c>
      <c r="D75" s="38">
        <f>Sheet1!E67</f>
        <v>0</v>
      </c>
      <c r="E75" s="32" t="s">
        <v>23</v>
      </c>
      <c r="F75" s="109" t="s">
        <v>40</v>
      </c>
      <c r="G75" s="38">
        <f>Sheet1!I67</f>
        <v>74105</v>
      </c>
      <c r="H75" s="38">
        <f>Sheet1!J67</f>
        <v>0</v>
      </c>
    </row>
    <row r="76" spans="1:8" ht="22.5" customHeight="1">
      <c r="A76" s="38">
        <v>31763400</v>
      </c>
      <c r="B76" s="30" t="s">
        <v>144</v>
      </c>
      <c r="C76" s="38">
        <f>Sheet1!D68</f>
        <v>30317318</v>
      </c>
      <c r="D76" s="38" t="str">
        <f>Sheet1!E68</f>
        <v>57</v>
      </c>
      <c r="E76" s="32" t="s">
        <v>15</v>
      </c>
      <c r="F76" s="39" t="s">
        <v>41</v>
      </c>
      <c r="G76" s="38">
        <f>Sheet1!I68</f>
        <v>2802725</v>
      </c>
      <c r="H76" s="38" t="str">
        <f>Sheet1!J68</f>
        <v>14</v>
      </c>
    </row>
    <row r="77" spans="1:8" ht="22.5" customHeight="1">
      <c r="A77" s="38">
        <v>6614900</v>
      </c>
      <c r="B77" s="30" t="s">
        <v>144</v>
      </c>
      <c r="C77" s="38">
        <f>Sheet1!D69</f>
        <v>2465062</v>
      </c>
      <c r="D77" s="38" t="str">
        <f>Sheet1!E69</f>
        <v>38</v>
      </c>
      <c r="E77" s="32" t="s">
        <v>16</v>
      </c>
      <c r="F77" s="39" t="s">
        <v>42</v>
      </c>
      <c r="G77" s="38">
        <f>Sheet1!I69</f>
        <v>277985</v>
      </c>
      <c r="H77" s="38">
        <f>Sheet1!J69</f>
        <v>0</v>
      </c>
    </row>
    <row r="78" spans="1:8" ht="22.5" customHeight="1">
      <c r="A78" s="38">
        <v>37879800</v>
      </c>
      <c r="B78" s="30" t="s">
        <v>144</v>
      </c>
      <c r="C78" s="38">
        <f>Sheet1!D70</f>
        <v>22166584</v>
      </c>
      <c r="D78" s="38" t="str">
        <f>Sheet1!E70</f>
        <v>53</v>
      </c>
      <c r="E78" s="32" t="s">
        <v>17</v>
      </c>
      <c r="F78" s="39" t="s">
        <v>43</v>
      </c>
      <c r="G78" s="38">
        <f>Sheet1!I70</f>
        <v>2463353</v>
      </c>
      <c r="H78" s="38" t="str">
        <f>Sheet1!J70</f>
        <v>82</v>
      </c>
    </row>
    <row r="79" spans="1:8" ht="22.5" customHeight="1">
      <c r="A79" s="38">
        <v>9571840</v>
      </c>
      <c r="B79" s="30" t="s">
        <v>144</v>
      </c>
      <c r="C79" s="38">
        <f>Sheet1!D71</f>
        <v>7843954</v>
      </c>
      <c r="D79" s="38" t="str">
        <f>Sheet1!E71</f>
        <v>81</v>
      </c>
      <c r="E79" s="32" t="s">
        <v>18</v>
      </c>
      <c r="F79" s="39" t="s">
        <v>44</v>
      </c>
      <c r="G79" s="38">
        <f>Sheet1!I71</f>
        <v>707098</v>
      </c>
      <c r="H79" s="38" t="str">
        <f>Sheet1!J71</f>
        <v>36</v>
      </c>
    </row>
    <row r="80" spans="1:8" ht="22.5" customHeight="1">
      <c r="A80" s="38">
        <v>1476000</v>
      </c>
      <c r="B80" s="30" t="s">
        <v>144</v>
      </c>
      <c r="C80" s="38">
        <f>Sheet1!D72</f>
        <v>1559564</v>
      </c>
      <c r="D80" s="38" t="str">
        <f>Sheet1!E72</f>
        <v>20</v>
      </c>
      <c r="E80" s="32" t="s">
        <v>19</v>
      </c>
      <c r="F80" s="39" t="s">
        <v>45</v>
      </c>
      <c r="G80" s="38">
        <f>Sheet1!I72</f>
        <v>37582</v>
      </c>
      <c r="H80" s="38" t="str">
        <f>Sheet1!J72</f>
        <v>71</v>
      </c>
    </row>
    <row r="81" spans="1:8" ht="22.5" customHeight="1">
      <c r="A81" s="38">
        <v>17260500</v>
      </c>
      <c r="B81" s="30" t="s">
        <v>144</v>
      </c>
      <c r="C81" s="38">
        <f>Sheet1!D73</f>
        <v>13940636</v>
      </c>
      <c r="D81" s="38" t="str">
        <f>Sheet1!E73</f>
        <v>95</v>
      </c>
      <c r="E81" s="32" t="s">
        <v>20</v>
      </c>
      <c r="F81" s="39" t="s">
        <v>46</v>
      </c>
      <c r="G81" s="38">
        <f>Sheet1!I73</f>
        <v>6810947</v>
      </c>
      <c r="H81" s="38">
        <f>Sheet1!J73</f>
        <v>0</v>
      </c>
    </row>
    <row r="82" spans="1:8" ht="22.5" customHeight="1">
      <c r="A82" s="40">
        <v>46735000</v>
      </c>
      <c r="B82" s="30" t="s">
        <v>144</v>
      </c>
      <c r="C82" s="38">
        <f>Sheet1!D74</f>
        <v>34876100</v>
      </c>
      <c r="D82" s="38">
        <f>Sheet1!E74</f>
        <v>0</v>
      </c>
      <c r="E82" s="32" t="s">
        <v>21</v>
      </c>
      <c r="F82" s="39" t="s">
        <v>47</v>
      </c>
      <c r="G82" s="38">
        <f>Sheet1!I74</f>
        <v>3172600</v>
      </c>
      <c r="H82" s="38">
        <f>Sheet1!J74</f>
        <v>0</v>
      </c>
    </row>
    <row r="83" spans="1:8" ht="22.5" customHeight="1">
      <c r="A83" s="38">
        <v>4998000</v>
      </c>
      <c r="B83" s="30" t="s">
        <v>144</v>
      </c>
      <c r="C83" s="38">
        <f>Sheet1!D75</f>
        <v>3612000</v>
      </c>
      <c r="D83" s="38">
        <f>Sheet1!E75</f>
        <v>0</v>
      </c>
      <c r="E83" s="32" t="s">
        <v>10</v>
      </c>
      <c r="F83" s="39" t="s">
        <v>97</v>
      </c>
      <c r="G83" s="38">
        <f>Sheet1!I75</f>
        <v>0</v>
      </c>
      <c r="H83" s="38">
        <f>Sheet1!J75</f>
        <v>0</v>
      </c>
    </row>
    <row r="84" spans="1:8" ht="22.5" customHeight="1">
      <c r="A84" s="38"/>
      <c r="B84" s="30" t="s">
        <v>144</v>
      </c>
      <c r="C84" s="38">
        <f>Sheet1!D76</f>
        <v>2902383</v>
      </c>
      <c r="D84" s="38" t="str">
        <f>Sheet1!E76</f>
        <v>80</v>
      </c>
      <c r="E84" s="32" t="s">
        <v>266</v>
      </c>
      <c r="F84" s="39" t="s">
        <v>267</v>
      </c>
      <c r="G84" s="38">
        <f>Sheet1!I76</f>
        <v>0</v>
      </c>
      <c r="H84" s="38">
        <f>Sheet1!J76</f>
        <v>0</v>
      </c>
    </row>
    <row r="85" spans="1:8" ht="22.5" customHeight="1" hidden="1">
      <c r="A85" s="38">
        <v>0</v>
      </c>
      <c r="B85" s="30" t="s">
        <v>144</v>
      </c>
      <c r="C85" s="38">
        <f>Sheet1!D77</f>
        <v>0</v>
      </c>
      <c r="D85" s="38">
        <f>Sheet1!E77</f>
        <v>0</v>
      </c>
      <c r="E85" s="32" t="s">
        <v>184</v>
      </c>
      <c r="F85" s="39" t="s">
        <v>49</v>
      </c>
      <c r="G85" s="38">
        <f>Sheet1!I77</f>
        <v>0</v>
      </c>
      <c r="H85" s="38">
        <f>Sheet1!J77</f>
        <v>0</v>
      </c>
    </row>
    <row r="86" spans="1:8" ht="22.5" customHeight="1">
      <c r="A86" s="40"/>
      <c r="B86" s="34"/>
      <c r="C86" s="38">
        <f>Sheet1!D78</f>
        <v>8656923</v>
      </c>
      <c r="D86" s="38">
        <f>Sheet1!E78</f>
        <v>0</v>
      </c>
      <c r="E86" s="32" t="s">
        <v>173</v>
      </c>
      <c r="F86" s="39" t="s">
        <v>53</v>
      </c>
      <c r="G86" s="38">
        <f>Sheet1!I78</f>
        <v>676600</v>
      </c>
      <c r="H86" s="38">
        <f>Sheet1!J78</f>
        <v>0</v>
      </c>
    </row>
    <row r="87" spans="1:8" ht="22.5" customHeight="1">
      <c r="A87" s="38"/>
      <c r="B87" s="34" t="s">
        <v>104</v>
      </c>
      <c r="C87" s="38">
        <f>Sheet1!D79</f>
        <v>16425890</v>
      </c>
      <c r="D87" s="38">
        <f>Sheet1!E79</f>
        <v>0</v>
      </c>
      <c r="E87" s="32" t="s">
        <v>174</v>
      </c>
      <c r="F87" s="31" t="s">
        <v>102</v>
      </c>
      <c r="G87" s="38">
        <f>Sheet1!I79</f>
        <v>1660080</v>
      </c>
      <c r="H87" s="38">
        <f>Sheet1!J79</f>
        <v>0</v>
      </c>
    </row>
    <row r="88" spans="1:8" ht="22.5" customHeight="1" hidden="1">
      <c r="A88" s="38"/>
      <c r="B88" s="34" t="s">
        <v>104</v>
      </c>
      <c r="C88" s="38">
        <f>Sheet1!D80</f>
        <v>0</v>
      </c>
      <c r="D88" s="38">
        <f>Sheet1!E80</f>
        <v>0</v>
      </c>
      <c r="E88" s="32" t="s">
        <v>175</v>
      </c>
      <c r="F88" s="31" t="s">
        <v>105</v>
      </c>
      <c r="G88" s="38">
        <f>Sheet1!I80</f>
        <v>0</v>
      </c>
      <c r="H88" s="38">
        <f>Sheet1!J80</f>
        <v>0</v>
      </c>
    </row>
    <row r="89" spans="1:8" ht="22.5" customHeight="1">
      <c r="A89" s="38"/>
      <c r="B89" s="34" t="s">
        <v>104</v>
      </c>
      <c r="C89" s="38">
        <f>Sheet1!D81</f>
        <v>81900</v>
      </c>
      <c r="D89" s="38">
        <f>Sheet1!E81</f>
        <v>0</v>
      </c>
      <c r="E89" s="32" t="s">
        <v>198</v>
      </c>
      <c r="F89" s="31" t="s">
        <v>199</v>
      </c>
      <c r="G89" s="38">
        <f>Sheet1!I81</f>
        <v>19900</v>
      </c>
      <c r="H89" s="38">
        <f>Sheet1!J81</f>
        <v>0</v>
      </c>
    </row>
    <row r="90" spans="1:8" ht="22.5" customHeight="1" hidden="1">
      <c r="A90" s="38"/>
      <c r="B90" s="34" t="s">
        <v>104</v>
      </c>
      <c r="C90" s="38">
        <f>Sheet1!D82</f>
        <v>0</v>
      </c>
      <c r="D90" s="38">
        <f>Sheet1!E82</f>
        <v>0</v>
      </c>
      <c r="E90" s="32" t="s">
        <v>176</v>
      </c>
      <c r="F90" s="31" t="s">
        <v>51</v>
      </c>
      <c r="G90" s="38">
        <f>Sheet1!I82</f>
        <v>0</v>
      </c>
      <c r="H90" s="38">
        <f>Sheet1!J82</f>
        <v>0</v>
      </c>
    </row>
    <row r="91" spans="1:8" ht="22.5" customHeight="1" hidden="1">
      <c r="A91" s="38"/>
      <c r="B91" s="34" t="s">
        <v>104</v>
      </c>
      <c r="C91" s="38">
        <f>Sheet1!D83</f>
        <v>0</v>
      </c>
      <c r="D91" s="38">
        <f>Sheet1!E83</f>
        <v>0</v>
      </c>
      <c r="E91" s="32" t="s">
        <v>177</v>
      </c>
      <c r="F91" s="31" t="s">
        <v>52</v>
      </c>
      <c r="G91" s="38">
        <f>Sheet1!I83</f>
        <v>0</v>
      </c>
      <c r="H91" s="38">
        <f>Sheet1!J83</f>
        <v>0</v>
      </c>
    </row>
    <row r="92" spans="1:8" ht="22.5" customHeight="1">
      <c r="A92" s="38"/>
      <c r="B92" s="34" t="s">
        <v>104</v>
      </c>
      <c r="C92" s="38">
        <f>Sheet1!D84</f>
        <v>8310011</v>
      </c>
      <c r="D92" s="38" t="str">
        <f>Sheet1!E84</f>
        <v>03</v>
      </c>
      <c r="E92" s="32" t="s">
        <v>169</v>
      </c>
      <c r="F92" s="31" t="s">
        <v>170</v>
      </c>
      <c r="G92" s="38">
        <f>Sheet1!I84</f>
        <v>8310000</v>
      </c>
      <c r="H92" s="38">
        <f>Sheet1!J84</f>
        <v>0</v>
      </c>
    </row>
    <row r="93" spans="1:8" ht="22.5" customHeight="1">
      <c r="A93" s="40"/>
      <c r="B93" s="34"/>
      <c r="C93" s="38">
        <f>Sheet1!D85</f>
        <v>234300</v>
      </c>
      <c r="D93" s="38">
        <f>Sheet1!E85</f>
        <v>0</v>
      </c>
      <c r="E93" s="32" t="s">
        <v>121</v>
      </c>
      <c r="F93" s="39" t="s">
        <v>112</v>
      </c>
      <c r="G93" s="38">
        <f>Sheet1!I85</f>
        <v>0</v>
      </c>
      <c r="H93" s="38">
        <f>Sheet1!J85</f>
        <v>0</v>
      </c>
    </row>
    <row r="94" spans="1:8" ht="22.5" customHeight="1">
      <c r="A94" s="38"/>
      <c r="B94" s="34"/>
      <c r="C94" s="38">
        <f>Sheet1!D86</f>
        <v>1667456</v>
      </c>
      <c r="D94" s="38" t="str">
        <f>Sheet1!E86</f>
        <v>04</v>
      </c>
      <c r="E94" s="32" t="s">
        <v>22</v>
      </c>
      <c r="F94" s="31" t="s">
        <v>48</v>
      </c>
      <c r="G94" s="38">
        <f>Sheet1!I86</f>
        <v>0</v>
      </c>
      <c r="H94" s="38">
        <f>Sheet1!J86</f>
        <v>0</v>
      </c>
    </row>
    <row r="95" spans="1:8" ht="22.5" customHeight="1" hidden="1" thickBot="1">
      <c r="A95" s="161" t="s">
        <v>178</v>
      </c>
      <c r="B95" s="161"/>
      <c r="C95" s="161"/>
      <c r="D95" s="161"/>
      <c r="E95" s="161"/>
      <c r="F95" s="161"/>
      <c r="G95" s="161"/>
      <c r="H95" s="161"/>
    </row>
    <row r="96" spans="1:8" ht="22.5" customHeight="1">
      <c r="A96" s="176" t="s">
        <v>0</v>
      </c>
      <c r="B96" s="177"/>
      <c r="C96" s="177"/>
      <c r="D96" s="178"/>
      <c r="E96" s="166" t="s">
        <v>4</v>
      </c>
      <c r="F96" s="41" t="s">
        <v>5</v>
      </c>
      <c r="G96" s="176" t="s">
        <v>7</v>
      </c>
      <c r="H96" s="178"/>
    </row>
    <row r="97" spans="1:8" ht="22.5" customHeight="1">
      <c r="A97" s="168" t="s">
        <v>1</v>
      </c>
      <c r="B97" s="169"/>
      <c r="C97" s="170" t="s">
        <v>3</v>
      </c>
      <c r="D97" s="171"/>
      <c r="E97" s="166"/>
      <c r="F97" s="41" t="s">
        <v>6</v>
      </c>
      <c r="G97" s="168" t="s">
        <v>3</v>
      </c>
      <c r="H97" s="169"/>
    </row>
    <row r="98" spans="1:8" ht="22.5" customHeight="1" thickBot="1">
      <c r="A98" s="172" t="s">
        <v>2</v>
      </c>
      <c r="B98" s="173"/>
      <c r="C98" s="172" t="s">
        <v>2</v>
      </c>
      <c r="D98" s="173"/>
      <c r="E98" s="167"/>
      <c r="F98" s="95"/>
      <c r="G98" s="174" t="s">
        <v>2</v>
      </c>
      <c r="H98" s="175"/>
    </row>
    <row r="99" spans="1:8" ht="22.5" customHeight="1" thickTop="1">
      <c r="A99" s="40"/>
      <c r="B99" s="34"/>
      <c r="C99" s="38">
        <f>Sheet1!D87</f>
        <v>2876207</v>
      </c>
      <c r="D99" s="38">
        <f>Sheet1!E87</f>
        <v>0</v>
      </c>
      <c r="E99" s="32" t="s">
        <v>33</v>
      </c>
      <c r="F99" s="39" t="s">
        <v>74</v>
      </c>
      <c r="G99" s="38">
        <f>Sheet1!I87</f>
        <v>0</v>
      </c>
      <c r="H99" s="38">
        <f>Sheet1!J87</f>
        <v>0</v>
      </c>
    </row>
    <row r="100" spans="1:8" ht="22.5" customHeight="1" hidden="1">
      <c r="A100" s="40"/>
      <c r="B100" s="34"/>
      <c r="C100" s="38">
        <f>Sheet1!D88</f>
        <v>0</v>
      </c>
      <c r="D100" s="38">
        <f>Sheet1!E88</f>
        <v>0</v>
      </c>
      <c r="E100" s="32" t="s">
        <v>110</v>
      </c>
      <c r="F100" s="39" t="s">
        <v>111</v>
      </c>
      <c r="G100" s="38">
        <f>Sheet1!I88</f>
        <v>0</v>
      </c>
      <c r="H100" s="38">
        <f>Sheet1!J88</f>
        <v>0</v>
      </c>
    </row>
    <row r="101" spans="1:8" ht="22.5" customHeight="1">
      <c r="A101" s="40"/>
      <c r="B101" s="34"/>
      <c r="C101" s="38">
        <f>Sheet1!D89</f>
        <v>16915747</v>
      </c>
      <c r="D101" s="38" t="str">
        <f>Sheet1!E89</f>
        <v>47</v>
      </c>
      <c r="E101" s="32" t="s">
        <v>11</v>
      </c>
      <c r="F101" s="39" t="s">
        <v>54</v>
      </c>
      <c r="G101" s="38">
        <f>Sheet1!I89</f>
        <v>1397985</v>
      </c>
      <c r="H101" s="38" t="str">
        <f>Sheet1!J89</f>
        <v>69</v>
      </c>
    </row>
    <row r="102" spans="1:8" ht="22.5" customHeight="1">
      <c r="A102" s="40"/>
      <c r="B102" s="34"/>
      <c r="C102" s="38">
        <f>Sheet1!D90</f>
        <v>10721638</v>
      </c>
      <c r="D102" s="38">
        <f>Sheet1!E90</f>
        <v>0</v>
      </c>
      <c r="E102" s="32" t="s">
        <v>12</v>
      </c>
      <c r="F102" s="39" t="s">
        <v>139</v>
      </c>
      <c r="G102" s="38">
        <f>Sheet1!I90</f>
        <v>0</v>
      </c>
      <c r="H102" s="38">
        <f>Sheet1!J90</f>
        <v>0</v>
      </c>
    </row>
    <row r="103" spans="1:8" ht="22.5" customHeight="1">
      <c r="A103" s="40"/>
      <c r="B103" s="34"/>
      <c r="C103" s="38">
        <f>Sheet1!D91</f>
        <v>1203693</v>
      </c>
      <c r="D103" s="38" t="str">
        <f>Sheet1!E91</f>
        <v>72</v>
      </c>
      <c r="E103" s="32" t="s">
        <v>141</v>
      </c>
      <c r="F103" s="39" t="s">
        <v>70</v>
      </c>
      <c r="G103" s="38">
        <f>Sheet1!I91</f>
        <v>0</v>
      </c>
      <c r="H103" s="38">
        <f>Sheet1!J91</f>
        <v>0</v>
      </c>
    </row>
    <row r="104" spans="1:8" ht="22.5" customHeight="1">
      <c r="A104" s="40"/>
      <c r="B104" s="34"/>
      <c r="C104" s="38">
        <f>Sheet1!D92</f>
        <v>445637</v>
      </c>
      <c r="D104" s="38">
        <f>Sheet1!E92</f>
        <v>0</v>
      </c>
      <c r="E104" s="32" t="s">
        <v>258</v>
      </c>
      <c r="F104" s="39" t="s">
        <v>140</v>
      </c>
      <c r="G104" s="38">
        <f>Sheet1!I92</f>
        <v>0</v>
      </c>
      <c r="H104" s="38">
        <f>Sheet1!J92</f>
        <v>0</v>
      </c>
    </row>
    <row r="105" spans="1:8" ht="22.5" customHeight="1">
      <c r="A105" s="40"/>
      <c r="B105" s="34"/>
      <c r="C105" s="38">
        <f>Sheet1!D93</f>
        <v>20101674</v>
      </c>
      <c r="D105" s="38">
        <f>Sheet1!E93</f>
        <v>0</v>
      </c>
      <c r="E105" s="33" t="s">
        <v>236</v>
      </c>
      <c r="F105" s="31" t="s">
        <v>301</v>
      </c>
      <c r="G105" s="38">
        <f>Sheet1!I93</f>
        <v>1784200</v>
      </c>
      <c r="H105" s="38">
        <f>Sheet1!J93</f>
        <v>0</v>
      </c>
    </row>
    <row r="106" spans="1:8" ht="22.5" customHeight="1">
      <c r="A106" s="40"/>
      <c r="B106" s="34"/>
      <c r="C106" s="38">
        <f>Sheet1!D94</f>
        <v>68000</v>
      </c>
      <c r="D106" s="38">
        <f>Sheet1!E94</f>
        <v>0</v>
      </c>
      <c r="E106" s="33" t="s">
        <v>275</v>
      </c>
      <c r="F106" s="31" t="s">
        <v>140</v>
      </c>
      <c r="G106" s="38">
        <f>Sheet1!I94</f>
        <v>0</v>
      </c>
      <c r="H106" s="38">
        <f>Sheet1!J94</f>
        <v>0</v>
      </c>
    </row>
    <row r="107" spans="1:8" ht="22.5" customHeight="1">
      <c r="A107" s="40"/>
      <c r="B107" s="34"/>
      <c r="C107" s="38">
        <f>Sheet1!D95</f>
        <v>2410400</v>
      </c>
      <c r="D107" s="38">
        <f>Sheet1!E95</f>
        <v>0</v>
      </c>
      <c r="E107" s="33" t="s">
        <v>237</v>
      </c>
      <c r="F107" s="31" t="s">
        <v>301</v>
      </c>
      <c r="G107" s="38">
        <f>Sheet1!I95</f>
        <v>8800</v>
      </c>
      <c r="H107" s="38">
        <f>Sheet1!J95</f>
        <v>0</v>
      </c>
    </row>
    <row r="108" spans="1:8" ht="22.5" customHeight="1">
      <c r="A108" s="40"/>
      <c r="B108" s="34"/>
      <c r="C108" s="38">
        <f>Sheet1!D96</f>
        <v>1145661</v>
      </c>
      <c r="D108" s="38">
        <f>Sheet1!E96</f>
        <v>0</v>
      </c>
      <c r="E108" s="136" t="s">
        <v>215</v>
      </c>
      <c r="F108" s="31" t="s">
        <v>216</v>
      </c>
      <c r="G108" s="38">
        <f>Sheet1!I96</f>
        <v>0</v>
      </c>
      <c r="H108" s="38">
        <f>Sheet1!J96</f>
        <v>0</v>
      </c>
    </row>
    <row r="109" spans="1:8" ht="22.5" customHeight="1">
      <c r="A109" s="40"/>
      <c r="B109" s="34"/>
      <c r="C109" s="38">
        <f>Sheet1!D97</f>
        <v>788000</v>
      </c>
      <c r="D109" s="38">
        <f>Sheet1!E97</f>
        <v>0</v>
      </c>
      <c r="E109" s="105" t="s">
        <v>277</v>
      </c>
      <c r="F109" s="31" t="s">
        <v>301</v>
      </c>
      <c r="G109" s="38">
        <f>Sheet1!I97</f>
        <v>0</v>
      </c>
      <c r="H109" s="38">
        <f>Sheet1!J97</f>
        <v>0</v>
      </c>
    </row>
    <row r="110" spans="1:8" ht="22.5" customHeight="1">
      <c r="A110" s="40"/>
      <c r="B110" s="34"/>
      <c r="C110" s="38">
        <f>Sheet1!D98</f>
        <v>372220</v>
      </c>
      <c r="D110" s="38">
        <f>Sheet1!E98</f>
        <v>0</v>
      </c>
      <c r="E110" s="105" t="s">
        <v>238</v>
      </c>
      <c r="F110" s="31" t="s">
        <v>301</v>
      </c>
      <c r="G110" s="38">
        <f>Sheet1!I98</f>
        <v>34980</v>
      </c>
      <c r="H110" s="38">
        <f>Sheet1!J98</f>
        <v>0</v>
      </c>
    </row>
    <row r="111" spans="1:8" ht="22.5" customHeight="1">
      <c r="A111" s="40"/>
      <c r="B111" s="34"/>
      <c r="C111" s="38">
        <f>Sheet1!D99</f>
        <v>325661</v>
      </c>
      <c r="D111" s="38" t="str">
        <f>Sheet1!E99</f>
        <v>28</v>
      </c>
      <c r="E111" s="105" t="s">
        <v>239</v>
      </c>
      <c r="F111" s="31" t="s">
        <v>301</v>
      </c>
      <c r="G111" s="38">
        <f>Sheet1!I99</f>
        <v>40435</v>
      </c>
      <c r="H111" s="38">
        <f>Sheet1!J100</f>
        <v>0</v>
      </c>
    </row>
    <row r="112" spans="1:8" ht="22.5" customHeight="1">
      <c r="A112" s="40"/>
      <c r="B112" s="34"/>
      <c r="C112" s="38">
        <f>Sheet1!D100</f>
        <v>16283</v>
      </c>
      <c r="D112" s="38">
        <f>Sheet1!E100</f>
        <v>0</v>
      </c>
      <c r="E112" s="105" t="s">
        <v>240</v>
      </c>
      <c r="F112" s="31" t="s">
        <v>301</v>
      </c>
      <c r="G112" s="38">
        <f>Sheet1!I100</f>
        <v>2022</v>
      </c>
      <c r="H112" s="38">
        <f>Sheet1!J100</f>
        <v>0</v>
      </c>
    </row>
    <row r="113" spans="1:8" ht="22.5" customHeight="1" hidden="1">
      <c r="A113" s="40"/>
      <c r="B113" s="34"/>
      <c r="C113" s="38">
        <f>Sheet1!D101</f>
        <v>0</v>
      </c>
      <c r="D113" s="38">
        <f>Sheet1!E101</f>
        <v>0</v>
      </c>
      <c r="E113" s="105" t="s">
        <v>241</v>
      </c>
      <c r="F113" s="31" t="s">
        <v>301</v>
      </c>
      <c r="G113" s="38">
        <f>Sheet1!I101</f>
        <v>0</v>
      </c>
      <c r="H113" s="38">
        <f>Sheet1!J101</f>
        <v>0</v>
      </c>
    </row>
    <row r="114" spans="1:8" ht="22.5" customHeight="1" hidden="1">
      <c r="A114" s="40"/>
      <c r="B114" s="34"/>
      <c r="C114" s="38">
        <f>Sheet1!D102</f>
        <v>0</v>
      </c>
      <c r="D114" s="38">
        <f>Sheet1!E102</f>
        <v>0</v>
      </c>
      <c r="E114" s="105" t="s">
        <v>242</v>
      </c>
      <c r="F114" s="31" t="s">
        <v>301</v>
      </c>
      <c r="G114" s="38">
        <f>Sheet1!I102</f>
        <v>0</v>
      </c>
      <c r="H114" s="38">
        <f>Sheet1!J102</f>
        <v>0</v>
      </c>
    </row>
    <row r="115" spans="1:8" ht="22.5" customHeight="1" hidden="1">
      <c r="A115" s="40"/>
      <c r="B115" s="34"/>
      <c r="C115" s="38">
        <f>Sheet1!D103</f>
        <v>0</v>
      </c>
      <c r="D115" s="38">
        <f>Sheet1!E103</f>
        <v>0</v>
      </c>
      <c r="E115" s="105" t="s">
        <v>243</v>
      </c>
      <c r="F115" s="31" t="s">
        <v>301</v>
      </c>
      <c r="G115" s="38">
        <f>Sheet1!I103</f>
        <v>0</v>
      </c>
      <c r="H115" s="38">
        <f>Sheet1!J103</f>
        <v>0</v>
      </c>
    </row>
    <row r="116" spans="1:8" ht="22.5" customHeight="1">
      <c r="A116" s="40"/>
      <c r="B116" s="34"/>
      <c r="C116" s="38">
        <f>Sheet1!D104</f>
        <v>179258</v>
      </c>
      <c r="D116" s="38">
        <f>Sheet1!E104</f>
        <v>0</v>
      </c>
      <c r="E116" s="105" t="s">
        <v>244</v>
      </c>
      <c r="F116" s="31" t="s">
        <v>301</v>
      </c>
      <c r="G116" s="38">
        <f>Sheet1!I104</f>
        <v>0</v>
      </c>
      <c r="H116" s="38">
        <f>Sheet1!J104</f>
        <v>0</v>
      </c>
    </row>
    <row r="117" spans="1:8" ht="22.5" customHeight="1">
      <c r="A117" s="40"/>
      <c r="B117" s="34"/>
      <c r="C117" s="38">
        <f>Sheet1!D105</f>
        <v>83720</v>
      </c>
      <c r="D117" s="38">
        <f>Sheet1!E105</f>
        <v>0</v>
      </c>
      <c r="E117" s="105" t="s">
        <v>298</v>
      </c>
      <c r="F117" s="31" t="s">
        <v>301</v>
      </c>
      <c r="G117" s="38">
        <f>Sheet1!I105</f>
        <v>0</v>
      </c>
      <c r="H117" s="38">
        <f>Sheet1!J105</f>
        <v>0</v>
      </c>
    </row>
    <row r="118" spans="1:8" ht="22.5" customHeight="1">
      <c r="A118" s="40"/>
      <c r="B118" s="34"/>
      <c r="C118" s="38">
        <f>Sheet1!D106</f>
        <v>99561</v>
      </c>
      <c r="D118" s="38">
        <f>Sheet1!E106</f>
        <v>0</v>
      </c>
      <c r="E118" s="105" t="s">
        <v>245</v>
      </c>
      <c r="F118" s="31" t="s">
        <v>301</v>
      </c>
      <c r="G118" s="38">
        <f>Sheet1!I106</f>
        <v>0</v>
      </c>
      <c r="H118" s="38">
        <f>Sheet1!J106</f>
        <v>0</v>
      </c>
    </row>
    <row r="119" spans="1:8" ht="22.5" customHeight="1">
      <c r="A119" s="40"/>
      <c r="B119" s="34"/>
      <c r="C119" s="38">
        <f>Sheet1!D107</f>
        <v>15000</v>
      </c>
      <c r="D119" s="38">
        <f>Sheet1!E107</f>
        <v>0</v>
      </c>
      <c r="E119" s="105" t="s">
        <v>299</v>
      </c>
      <c r="F119" s="31" t="s">
        <v>140</v>
      </c>
      <c r="G119" s="38">
        <f>Sheet1!I107</f>
        <v>0</v>
      </c>
      <c r="H119" s="38">
        <f>Sheet1!J107</f>
        <v>0</v>
      </c>
    </row>
    <row r="120" spans="1:8" ht="22.5" customHeight="1">
      <c r="A120" s="40"/>
      <c r="B120" s="34"/>
      <c r="C120" s="38">
        <f>Sheet1!D108</f>
        <v>38517</v>
      </c>
      <c r="D120" s="38">
        <f>Sheet1!E108</f>
        <v>0</v>
      </c>
      <c r="E120" s="105" t="s">
        <v>246</v>
      </c>
      <c r="F120" s="31" t="s">
        <v>301</v>
      </c>
      <c r="G120" s="38">
        <f>Sheet1!I108</f>
        <v>0</v>
      </c>
      <c r="H120" s="38">
        <f>Sheet1!J108</f>
        <v>0</v>
      </c>
    </row>
    <row r="121" spans="1:8" ht="22.5" customHeight="1">
      <c r="A121" s="40"/>
      <c r="B121" s="34"/>
      <c r="C121" s="38">
        <f>Sheet1!D109</f>
        <v>13150</v>
      </c>
      <c r="D121" s="38">
        <f>Sheet1!E109</f>
        <v>0</v>
      </c>
      <c r="E121" s="105" t="s">
        <v>247</v>
      </c>
      <c r="F121" s="31" t="s">
        <v>301</v>
      </c>
      <c r="G121" s="38">
        <f>Sheet1!I109</f>
        <v>3000</v>
      </c>
      <c r="H121" s="38">
        <f>Sheet1!J109</f>
        <v>0</v>
      </c>
    </row>
    <row r="122" spans="1:8" ht="22.5" customHeight="1">
      <c r="A122" s="40"/>
      <c r="B122" s="34"/>
      <c r="C122" s="38">
        <f>Sheet1!D110</f>
        <v>21900</v>
      </c>
      <c r="D122" s="38">
        <f>Sheet1!E110</f>
        <v>0</v>
      </c>
      <c r="E122" s="105" t="s">
        <v>305</v>
      </c>
      <c r="F122" s="31" t="s">
        <v>140</v>
      </c>
      <c r="G122" s="38">
        <f>Sheet1!I110</f>
        <v>0</v>
      </c>
      <c r="H122" s="38">
        <f>Sheet1!J110</f>
        <v>0</v>
      </c>
    </row>
    <row r="123" spans="1:8" ht="22.5" customHeight="1">
      <c r="A123" s="40"/>
      <c r="B123" s="34"/>
      <c r="C123" s="38">
        <f>Sheet1!D111</f>
        <v>54342</v>
      </c>
      <c r="D123" s="38">
        <f>Sheet1!E111</f>
        <v>0</v>
      </c>
      <c r="E123" s="105" t="s">
        <v>248</v>
      </c>
      <c r="F123" s="31" t="s">
        <v>301</v>
      </c>
      <c r="G123" s="38">
        <f>Sheet1!I111</f>
        <v>0</v>
      </c>
      <c r="H123" s="38">
        <f>Sheet1!J111</f>
        <v>0</v>
      </c>
    </row>
    <row r="124" spans="1:8" ht="22.5" customHeight="1">
      <c r="A124" s="40"/>
      <c r="B124" s="34"/>
      <c r="C124" s="38">
        <f>Sheet1!D112</f>
        <v>36132</v>
      </c>
      <c r="D124" s="38">
        <f>Sheet1!E112</f>
        <v>0</v>
      </c>
      <c r="E124" s="105" t="s">
        <v>249</v>
      </c>
      <c r="F124" s="31" t="s">
        <v>301</v>
      </c>
      <c r="G124" s="38">
        <f>Sheet1!I112</f>
        <v>0</v>
      </c>
      <c r="H124" s="38">
        <f>Sheet1!J112</f>
        <v>0</v>
      </c>
    </row>
    <row r="125" spans="1:8" ht="22.5" customHeight="1">
      <c r="A125" s="40"/>
      <c r="B125" s="34"/>
      <c r="C125" s="38">
        <f>Sheet1!D113</f>
        <v>16900</v>
      </c>
      <c r="D125" s="38">
        <f>Sheet1!E113</f>
        <v>0</v>
      </c>
      <c r="E125" s="105" t="s">
        <v>308</v>
      </c>
      <c r="F125" s="31" t="s">
        <v>301</v>
      </c>
      <c r="G125" s="38">
        <f>Sheet1!I113</f>
        <v>16900</v>
      </c>
      <c r="H125" s="38">
        <f>Sheet1!J113</f>
        <v>0</v>
      </c>
    </row>
    <row r="126" spans="1:8" ht="22.5" customHeight="1" hidden="1">
      <c r="A126" s="40"/>
      <c r="B126" s="34"/>
      <c r="C126" s="38">
        <f>Sheet1!D114</f>
        <v>0</v>
      </c>
      <c r="D126" s="38">
        <f>Sheet1!E114</f>
        <v>0</v>
      </c>
      <c r="E126" s="105" t="s">
        <v>250</v>
      </c>
      <c r="F126" s="31" t="s">
        <v>301</v>
      </c>
      <c r="G126" s="38">
        <f>Sheet1!I114</f>
        <v>0</v>
      </c>
      <c r="H126" s="38">
        <f>Sheet1!J114</f>
        <v>0</v>
      </c>
    </row>
    <row r="127" spans="1:8" ht="22.5" customHeight="1" hidden="1">
      <c r="A127" s="40"/>
      <c r="B127" s="34"/>
      <c r="C127" s="38">
        <f>Sheet1!D115</f>
        <v>0</v>
      </c>
      <c r="D127" s="38">
        <f>Sheet1!E115</f>
        <v>0</v>
      </c>
      <c r="E127" s="105" t="s">
        <v>251</v>
      </c>
      <c r="F127" s="31" t="s">
        <v>301</v>
      </c>
      <c r="G127" s="38">
        <f>Sheet1!I115</f>
        <v>0</v>
      </c>
      <c r="H127" s="38">
        <f>Sheet1!J115</f>
        <v>0</v>
      </c>
    </row>
    <row r="128" spans="1:8" ht="22.5" customHeight="1" hidden="1">
      <c r="A128" s="40"/>
      <c r="B128" s="34"/>
      <c r="C128" s="38">
        <f>Sheet1!D116</f>
        <v>0</v>
      </c>
      <c r="D128" s="38">
        <f>Sheet1!E116</f>
        <v>0</v>
      </c>
      <c r="E128" s="105" t="s">
        <v>252</v>
      </c>
      <c r="F128" s="31" t="s">
        <v>301</v>
      </c>
      <c r="G128" s="38">
        <f>Sheet1!I116</f>
        <v>0</v>
      </c>
      <c r="H128" s="38">
        <f>Sheet1!J116</f>
        <v>0</v>
      </c>
    </row>
    <row r="129" spans="1:8" ht="22.5" customHeight="1">
      <c r="A129" s="40"/>
      <c r="B129" s="34"/>
      <c r="C129" s="38">
        <f>Sheet1!D117</f>
        <v>45500</v>
      </c>
      <c r="D129" s="38">
        <f>Sheet1!E117</f>
        <v>0</v>
      </c>
      <c r="E129" s="105" t="s">
        <v>253</v>
      </c>
      <c r="F129" s="31" t="s">
        <v>301</v>
      </c>
      <c r="G129" s="38">
        <f>Sheet1!I117</f>
        <v>7000</v>
      </c>
      <c r="H129" s="38">
        <f>Sheet1!J117</f>
        <v>0</v>
      </c>
    </row>
    <row r="130" spans="1:8" ht="22.5" customHeight="1">
      <c r="A130" s="40"/>
      <c r="B130" s="34"/>
      <c r="C130" s="38">
        <f>Sheet1!D118</f>
        <v>5800</v>
      </c>
      <c r="D130" s="38">
        <f>Sheet1!E118</f>
        <v>0</v>
      </c>
      <c r="E130" s="105" t="s">
        <v>254</v>
      </c>
      <c r="F130" s="31" t="s">
        <v>301</v>
      </c>
      <c r="G130" s="38">
        <f>Sheet1!I118</f>
        <v>0</v>
      </c>
      <c r="H130" s="38">
        <f>Sheet1!J118</f>
        <v>0</v>
      </c>
    </row>
    <row r="131" spans="1:8" ht="22.5" customHeight="1">
      <c r="A131" s="40"/>
      <c r="B131" s="34"/>
      <c r="C131" s="38">
        <f>Sheet1!D119</f>
        <v>9880</v>
      </c>
      <c r="D131" s="38">
        <f>Sheet1!E119</f>
        <v>0</v>
      </c>
      <c r="E131" s="105" t="s">
        <v>268</v>
      </c>
      <c r="F131" s="31" t="s">
        <v>301</v>
      </c>
      <c r="G131" s="38">
        <f>Sheet1!I119</f>
        <v>0</v>
      </c>
      <c r="H131" s="38">
        <f>Sheet1!J119</f>
        <v>0</v>
      </c>
    </row>
    <row r="132" spans="1:8" ht="22.5" customHeight="1">
      <c r="A132" s="40"/>
      <c r="B132" s="34"/>
      <c r="C132" s="38">
        <f>Sheet1!D120</f>
        <v>140</v>
      </c>
      <c r="D132" s="38">
        <f>Sheet1!E120</f>
        <v>0</v>
      </c>
      <c r="E132" s="105" t="s">
        <v>269</v>
      </c>
      <c r="F132" s="31" t="s">
        <v>301</v>
      </c>
      <c r="G132" s="38">
        <f>Sheet1!I120</f>
        <v>0</v>
      </c>
      <c r="H132" s="38">
        <f>Sheet1!J120</f>
        <v>0</v>
      </c>
    </row>
    <row r="133" spans="1:8" ht="22.5" customHeight="1">
      <c r="A133" s="40"/>
      <c r="B133" s="34"/>
      <c r="C133" s="38">
        <f>Sheet1!D121</f>
        <v>1195</v>
      </c>
      <c r="D133" s="38">
        <f>Sheet1!E121</f>
        <v>0</v>
      </c>
      <c r="E133" s="105" t="s">
        <v>270</v>
      </c>
      <c r="F133" s="31" t="s">
        <v>301</v>
      </c>
      <c r="G133" s="38">
        <f>Sheet1!I121</f>
        <v>0</v>
      </c>
      <c r="H133" s="38">
        <f>Sheet1!J121</f>
        <v>0</v>
      </c>
    </row>
    <row r="134" spans="1:8" ht="22.5" customHeight="1" hidden="1">
      <c r="A134" s="40"/>
      <c r="B134" s="34"/>
      <c r="C134" s="38"/>
      <c r="D134" s="38"/>
      <c r="E134" s="105"/>
      <c r="F134" s="31"/>
      <c r="G134" s="38"/>
      <c r="H134" s="38"/>
    </row>
    <row r="135" spans="1:8" ht="22.5" customHeight="1">
      <c r="A135" s="98">
        <f>SUM(A72:A112)</f>
        <v>205000000</v>
      </c>
      <c r="B135" s="98">
        <f>SUM(B72:B112)</f>
        <v>0</v>
      </c>
      <c r="C135" s="99">
        <f>Sheet1!D126</f>
        <v>253376338</v>
      </c>
      <c r="D135" s="99" t="str">
        <f>Sheet1!E126</f>
        <v>.0</v>
      </c>
      <c r="E135" s="41" t="s">
        <v>25</v>
      </c>
      <c r="F135" s="100"/>
      <c r="G135" s="99">
        <f>Sheet1!I126</f>
        <v>43743578</v>
      </c>
      <c r="H135" s="99" t="str">
        <f>Sheet1!J126</f>
        <v>31</v>
      </c>
    </row>
    <row r="136" spans="1:8" ht="22.5" customHeight="1">
      <c r="A136" s="52"/>
      <c r="B136" s="101"/>
      <c r="C136" s="102"/>
      <c r="D136" s="102"/>
      <c r="E136" s="41" t="s">
        <v>26</v>
      </c>
      <c r="F136" s="100"/>
      <c r="G136" s="102"/>
      <c r="H136" s="102"/>
    </row>
    <row r="137" spans="1:8" ht="22.5" customHeight="1">
      <c r="A137" s="52"/>
      <c r="B137" s="101"/>
      <c r="C137" s="103">
        <f>Sheet1!D127</f>
        <v>6952959</v>
      </c>
      <c r="D137" s="103" t="str">
        <f>Sheet1!E127</f>
        <v>71</v>
      </c>
      <c r="E137" s="41" t="s">
        <v>29</v>
      </c>
      <c r="F137" s="100"/>
      <c r="G137" s="103">
        <f>Sheet1!I127</f>
        <v>-21112133</v>
      </c>
      <c r="H137" s="103" t="str">
        <f>Sheet1!J127</f>
        <v>36</v>
      </c>
    </row>
    <row r="138" spans="1:8" ht="22.5" customHeight="1">
      <c r="A138" s="52"/>
      <c r="B138" s="101"/>
      <c r="C138" s="103"/>
      <c r="D138" s="103"/>
      <c r="E138" s="41" t="s">
        <v>30</v>
      </c>
      <c r="F138" s="100"/>
      <c r="G138" s="103"/>
      <c r="H138" s="103"/>
    </row>
    <row r="139" spans="1:8" ht="22.5" customHeight="1" thickBot="1">
      <c r="A139" s="52"/>
      <c r="B139" s="101"/>
      <c r="C139" s="96">
        <f>Sheet1!D128</f>
        <v>60741764</v>
      </c>
      <c r="D139" s="96" t="str">
        <f>Sheet1!E128</f>
        <v>54</v>
      </c>
      <c r="E139" s="41" t="s">
        <v>27</v>
      </c>
      <c r="F139" s="104"/>
      <c r="G139" s="97">
        <f>Sheet1!I128</f>
        <v>60741764</v>
      </c>
      <c r="H139" s="97" t="str">
        <f>Sheet1!J128</f>
        <v>54</v>
      </c>
    </row>
    <row r="140" ht="21" customHeight="1" thickTop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</sheetData>
  <sheetProtection/>
  <mergeCells count="30">
    <mergeCell ref="A95:H95"/>
    <mergeCell ref="A96:D96"/>
    <mergeCell ref="E96:E98"/>
    <mergeCell ref="G96:H96"/>
    <mergeCell ref="A97:B97"/>
    <mergeCell ref="C97:D97"/>
    <mergeCell ref="G97:H97"/>
    <mergeCell ref="A98:B98"/>
    <mergeCell ref="C98:D98"/>
    <mergeCell ref="G98:H98"/>
    <mergeCell ref="A42:H42"/>
    <mergeCell ref="A43:D43"/>
    <mergeCell ref="E43:E45"/>
    <mergeCell ref="G43:H43"/>
    <mergeCell ref="A44:B44"/>
    <mergeCell ref="C44:D44"/>
    <mergeCell ref="G44:H44"/>
    <mergeCell ref="A45:B45"/>
    <mergeCell ref="C45:D45"/>
    <mergeCell ref="G45:H45"/>
    <mergeCell ref="A2:H2"/>
    <mergeCell ref="A4:D4"/>
    <mergeCell ref="A5:B5"/>
    <mergeCell ref="A6:B6"/>
    <mergeCell ref="C6:D6"/>
    <mergeCell ref="C5:D5"/>
    <mergeCell ref="E4:E6"/>
    <mergeCell ref="G5:H5"/>
    <mergeCell ref="G4:H4"/>
    <mergeCell ref="G6:H6"/>
  </mergeCells>
  <printOptions/>
  <pageMargins left="0.35" right="0.21" top="0.82" bottom="0.28" header="0.16" footer="0.1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J33" sqref="J33"/>
    </sheetView>
  </sheetViews>
  <sheetFormatPr defaultColWidth="9.140625" defaultRowHeight="21.75" customHeight="1"/>
  <cols>
    <col min="1" max="1" width="5.7109375" style="43" customWidth="1"/>
    <col min="2" max="2" width="7.7109375" style="43" customWidth="1"/>
    <col min="3" max="3" width="47.140625" style="43" customWidth="1"/>
    <col min="4" max="4" width="9.7109375" style="43" customWidth="1"/>
    <col min="5" max="6" width="16.7109375" style="43" customWidth="1"/>
    <col min="7" max="8" width="9.140625" style="43" customWidth="1"/>
    <col min="9" max="9" width="16.421875" style="43" bestFit="1" customWidth="1"/>
    <col min="10" max="16384" width="9.140625" style="43" customWidth="1"/>
  </cols>
  <sheetData>
    <row r="1" spans="1:6" ht="23.25" customHeight="1">
      <c r="A1" s="182" t="s">
        <v>32</v>
      </c>
      <c r="B1" s="182"/>
      <c r="C1" s="182"/>
      <c r="D1" s="182"/>
      <c r="E1" s="182"/>
      <c r="F1" s="182"/>
    </row>
    <row r="2" spans="1:6" ht="23.25" customHeight="1">
      <c r="A2" s="182" t="s">
        <v>63</v>
      </c>
      <c r="B2" s="182"/>
      <c r="C2" s="182"/>
      <c r="D2" s="182"/>
      <c r="E2" s="182"/>
      <c r="F2" s="182"/>
    </row>
    <row r="3" spans="1:6" ht="23.25" customHeight="1">
      <c r="A3" s="180" t="s">
        <v>314</v>
      </c>
      <c r="B3" s="180"/>
      <c r="C3" s="180"/>
      <c r="D3" s="180"/>
      <c r="E3" s="180"/>
      <c r="F3" s="180"/>
    </row>
    <row r="4" spans="1:6" ht="23.25" customHeight="1">
      <c r="A4" s="183" t="s">
        <v>4</v>
      </c>
      <c r="B4" s="184"/>
      <c r="C4" s="185"/>
      <c r="D4" s="63" t="s">
        <v>64</v>
      </c>
      <c r="E4" s="63" t="s">
        <v>65</v>
      </c>
      <c r="F4" s="63" t="s">
        <v>66</v>
      </c>
    </row>
    <row r="5" spans="1:6" ht="22.5" customHeight="1" hidden="1">
      <c r="A5" s="64" t="s">
        <v>87</v>
      </c>
      <c r="B5" s="65"/>
      <c r="C5" s="66"/>
      <c r="D5" s="67">
        <v>110100</v>
      </c>
      <c r="E5" s="57">
        <v>0</v>
      </c>
      <c r="F5" s="68"/>
    </row>
    <row r="6" spans="1:6" ht="22.5" customHeight="1">
      <c r="A6" s="69" t="s">
        <v>67</v>
      </c>
      <c r="B6" s="70"/>
      <c r="C6" s="71"/>
      <c r="D6" s="72" t="s">
        <v>68</v>
      </c>
      <c r="E6" s="44">
        <v>24166335.89</v>
      </c>
      <c r="F6" s="44"/>
    </row>
    <row r="7" spans="1:6" ht="22.5" customHeight="1">
      <c r="A7" s="73" t="s">
        <v>107</v>
      </c>
      <c r="B7" s="74"/>
      <c r="C7" s="75"/>
      <c r="D7" s="72" t="s">
        <v>68</v>
      </c>
      <c r="E7" s="44">
        <v>45892.16</v>
      </c>
      <c r="F7" s="44"/>
    </row>
    <row r="8" spans="1:6" ht="22.5" customHeight="1">
      <c r="A8" s="73" t="s">
        <v>103</v>
      </c>
      <c r="B8" s="74"/>
      <c r="C8" s="75"/>
      <c r="D8" s="72" t="s">
        <v>69</v>
      </c>
      <c r="E8" s="44">
        <v>5357934.61</v>
      </c>
      <c r="F8" s="44"/>
    </row>
    <row r="9" spans="1:6" ht="22.5" customHeight="1">
      <c r="A9" s="73" t="s">
        <v>95</v>
      </c>
      <c r="B9" s="74"/>
      <c r="C9" s="75"/>
      <c r="D9" s="72" t="s">
        <v>96</v>
      </c>
      <c r="E9" s="44">
        <v>9853418.29</v>
      </c>
      <c r="F9" s="44"/>
    </row>
    <row r="10" spans="1:6" ht="22.5" customHeight="1">
      <c r="A10" s="73" t="s">
        <v>206</v>
      </c>
      <c r="B10" s="74"/>
      <c r="C10" s="75"/>
      <c r="D10" s="72" t="s">
        <v>68</v>
      </c>
      <c r="E10" s="44">
        <v>315070.53</v>
      </c>
      <c r="F10" s="44"/>
    </row>
    <row r="11" spans="1:6" ht="22.5" customHeight="1">
      <c r="A11" s="73" t="s">
        <v>207</v>
      </c>
      <c r="B11" s="74"/>
      <c r="C11" s="75"/>
      <c r="D11" s="72" t="s">
        <v>69</v>
      </c>
      <c r="E11" s="44">
        <v>10000000</v>
      </c>
      <c r="F11" s="44"/>
    </row>
    <row r="12" spans="1:9" ht="22.5" customHeight="1">
      <c r="A12" s="73" t="s">
        <v>209</v>
      </c>
      <c r="B12" s="74"/>
      <c r="C12" s="75"/>
      <c r="D12" s="72" t="s">
        <v>69</v>
      </c>
      <c r="E12" s="44">
        <v>10000000</v>
      </c>
      <c r="F12" s="44"/>
      <c r="I12" s="116"/>
    </row>
    <row r="13" spans="1:6" ht="22.5" customHeight="1">
      <c r="A13" s="73" t="s">
        <v>259</v>
      </c>
      <c r="B13" s="74"/>
      <c r="C13" s="75"/>
      <c r="D13" s="72" t="s">
        <v>68</v>
      </c>
      <c r="E13" s="44">
        <v>1003113.06</v>
      </c>
      <c r="F13" s="44"/>
    </row>
    <row r="14" spans="1:6" ht="22.5" customHeight="1" hidden="1">
      <c r="A14" s="73" t="s">
        <v>108</v>
      </c>
      <c r="B14" s="74"/>
      <c r="C14" s="75"/>
      <c r="D14" s="72" t="s">
        <v>109</v>
      </c>
      <c r="E14" s="44">
        <v>0</v>
      </c>
      <c r="F14" s="44"/>
    </row>
    <row r="15" spans="1:6" ht="22.5" customHeight="1">
      <c r="A15" s="77" t="s">
        <v>31</v>
      </c>
      <c r="B15" s="78"/>
      <c r="C15" s="79"/>
      <c r="D15" s="125" t="s">
        <v>70</v>
      </c>
      <c r="E15" s="120">
        <v>8275513.31</v>
      </c>
      <c r="F15" s="44"/>
    </row>
    <row r="16" spans="1:6" ht="22.5" customHeight="1">
      <c r="A16" s="73" t="s">
        <v>167</v>
      </c>
      <c r="B16" s="74"/>
      <c r="C16" s="75"/>
      <c r="D16" s="72" t="s">
        <v>49</v>
      </c>
      <c r="E16" s="44">
        <v>88852383</v>
      </c>
      <c r="F16" s="44"/>
    </row>
    <row r="17" spans="1:6" ht="22.5" customHeight="1" hidden="1">
      <c r="A17" s="73" t="s">
        <v>152</v>
      </c>
      <c r="B17" s="74"/>
      <c r="C17" s="75"/>
      <c r="D17" s="72" t="s">
        <v>155</v>
      </c>
      <c r="E17" s="44">
        <v>0</v>
      </c>
      <c r="F17" s="44"/>
    </row>
    <row r="18" spans="1:6" ht="22.5" customHeight="1">
      <c r="A18" s="73" t="s">
        <v>61</v>
      </c>
      <c r="B18" s="74"/>
      <c r="C18" s="75"/>
      <c r="D18" s="72" t="s">
        <v>51</v>
      </c>
      <c r="E18" s="44">
        <v>57412</v>
      </c>
      <c r="F18" s="44"/>
    </row>
    <row r="19" spans="1:6" ht="22.5" customHeight="1" hidden="1">
      <c r="A19" s="73" t="s">
        <v>93</v>
      </c>
      <c r="B19" s="74"/>
      <c r="C19" s="75"/>
      <c r="D19" s="72" t="s">
        <v>52</v>
      </c>
      <c r="E19" s="44">
        <v>0</v>
      </c>
      <c r="F19" s="44"/>
    </row>
    <row r="20" spans="1:6" ht="22.5" customHeight="1">
      <c r="A20" s="73" t="s">
        <v>106</v>
      </c>
      <c r="B20" s="74"/>
      <c r="C20" s="75"/>
      <c r="D20" s="72" t="s">
        <v>105</v>
      </c>
      <c r="E20" s="44">
        <v>273257</v>
      </c>
      <c r="F20" s="44"/>
    </row>
    <row r="21" spans="1:6" ht="22.5" customHeight="1">
      <c r="A21" s="73" t="s">
        <v>88</v>
      </c>
      <c r="B21" s="74"/>
      <c r="C21" s="75"/>
      <c r="D21" s="72" t="s">
        <v>53</v>
      </c>
      <c r="E21" s="44">
        <v>741950</v>
      </c>
      <c r="F21" s="44"/>
    </row>
    <row r="22" spans="1:6" ht="22.5" customHeight="1">
      <c r="A22" s="73" t="s">
        <v>146</v>
      </c>
      <c r="B22" s="74"/>
      <c r="C22" s="75"/>
      <c r="D22" s="72" t="s">
        <v>102</v>
      </c>
      <c r="E22" s="120">
        <v>1026980</v>
      </c>
      <c r="F22" s="44"/>
    </row>
    <row r="23" spans="1:6" ht="22.5" customHeight="1">
      <c r="A23" s="73" t="s">
        <v>260</v>
      </c>
      <c r="B23" s="74"/>
      <c r="C23" s="75"/>
      <c r="D23" s="72" t="s">
        <v>199</v>
      </c>
      <c r="E23" s="120">
        <v>19900</v>
      </c>
      <c r="F23" s="44"/>
    </row>
    <row r="24" spans="1:6" ht="22.5" customHeight="1">
      <c r="A24" s="73" t="s">
        <v>14</v>
      </c>
      <c r="B24" s="74"/>
      <c r="C24" s="75"/>
      <c r="D24" s="72" t="s">
        <v>71</v>
      </c>
      <c r="E24" s="44">
        <v>18154919.86</v>
      </c>
      <c r="F24" s="44"/>
    </row>
    <row r="25" spans="1:6" ht="22.5" customHeight="1">
      <c r="A25" s="73" t="s">
        <v>195</v>
      </c>
      <c r="B25" s="74"/>
      <c r="C25" s="75"/>
      <c r="D25" s="72" t="s">
        <v>72</v>
      </c>
      <c r="E25" s="44">
        <v>3302244.74</v>
      </c>
      <c r="F25" s="44"/>
    </row>
    <row r="26" spans="1:6" ht="22.5" customHeight="1">
      <c r="A26" s="73" t="s">
        <v>196</v>
      </c>
      <c r="B26" s="74"/>
      <c r="C26" s="75"/>
      <c r="D26" s="72" t="s">
        <v>72</v>
      </c>
      <c r="E26" s="44">
        <v>17992810.62</v>
      </c>
      <c r="F26" s="44"/>
    </row>
    <row r="27" spans="1:6" ht="22.5" customHeight="1">
      <c r="A27" s="73" t="s">
        <v>23</v>
      </c>
      <c r="B27" s="74"/>
      <c r="C27" s="75"/>
      <c r="D27" s="72" t="s">
        <v>40</v>
      </c>
      <c r="E27" s="44">
        <v>852280</v>
      </c>
      <c r="F27" s="44"/>
    </row>
    <row r="28" spans="1:6" ht="22.5" customHeight="1">
      <c r="A28" s="73" t="s">
        <v>15</v>
      </c>
      <c r="B28" s="74"/>
      <c r="C28" s="75"/>
      <c r="D28" s="72" t="s">
        <v>41</v>
      </c>
      <c r="E28" s="44">
        <v>30316549.9</v>
      </c>
      <c r="F28" s="44"/>
    </row>
    <row r="29" spans="1:6" ht="22.5" customHeight="1">
      <c r="A29" s="73" t="s">
        <v>16</v>
      </c>
      <c r="B29" s="74"/>
      <c r="C29" s="75"/>
      <c r="D29" s="72" t="s">
        <v>42</v>
      </c>
      <c r="E29" s="44">
        <v>2465062.38</v>
      </c>
      <c r="F29" s="44"/>
    </row>
    <row r="30" spans="1:6" ht="22.5" customHeight="1">
      <c r="A30" s="73" t="s">
        <v>17</v>
      </c>
      <c r="B30" s="74"/>
      <c r="C30" s="75"/>
      <c r="D30" s="72" t="s">
        <v>43</v>
      </c>
      <c r="E30" s="44">
        <v>22166584.53</v>
      </c>
      <c r="F30" s="44"/>
    </row>
    <row r="31" spans="1:6" ht="22.5" customHeight="1">
      <c r="A31" s="73" t="s">
        <v>18</v>
      </c>
      <c r="B31" s="74"/>
      <c r="C31" s="75"/>
      <c r="D31" s="72" t="s">
        <v>44</v>
      </c>
      <c r="E31" s="44">
        <v>7843954.81</v>
      </c>
      <c r="F31" s="44"/>
    </row>
    <row r="32" spans="1:6" ht="22.5" customHeight="1">
      <c r="A32" s="73" t="s">
        <v>19</v>
      </c>
      <c r="B32" s="74"/>
      <c r="C32" s="75"/>
      <c r="D32" s="72" t="s">
        <v>45</v>
      </c>
      <c r="E32" s="44">
        <v>1559564.2</v>
      </c>
      <c r="F32" s="44"/>
    </row>
    <row r="33" spans="1:6" ht="22.5" customHeight="1">
      <c r="A33" s="73" t="s">
        <v>20</v>
      </c>
      <c r="B33" s="74"/>
      <c r="C33" s="75"/>
      <c r="D33" s="72" t="s">
        <v>46</v>
      </c>
      <c r="E33" s="44">
        <v>13940636.95</v>
      </c>
      <c r="F33" s="44"/>
    </row>
    <row r="34" spans="1:6" ht="22.5" customHeight="1">
      <c r="A34" s="58" t="s">
        <v>21</v>
      </c>
      <c r="B34" s="76"/>
      <c r="C34" s="75"/>
      <c r="D34" s="59" t="s">
        <v>47</v>
      </c>
      <c r="E34" s="44">
        <v>34876100</v>
      </c>
      <c r="F34" s="44"/>
    </row>
    <row r="35" spans="1:6" ht="22.5" customHeight="1">
      <c r="A35" s="60" t="s">
        <v>10</v>
      </c>
      <c r="B35" s="76"/>
      <c r="C35" s="75"/>
      <c r="D35" s="59" t="s">
        <v>98</v>
      </c>
      <c r="E35" s="44">
        <v>3612000</v>
      </c>
      <c r="F35" s="44"/>
    </row>
    <row r="36" spans="1:6" ht="22.5" customHeight="1">
      <c r="A36" s="60" t="s">
        <v>266</v>
      </c>
      <c r="B36" s="76"/>
      <c r="C36" s="75"/>
      <c r="D36" s="59" t="s">
        <v>267</v>
      </c>
      <c r="E36" s="44">
        <v>2902383.8</v>
      </c>
      <c r="F36" s="44"/>
    </row>
    <row r="37" spans="1:9" ht="22.5" customHeight="1">
      <c r="A37" s="73"/>
      <c r="B37" s="74" t="s">
        <v>163</v>
      </c>
      <c r="C37" s="75"/>
      <c r="D37" s="72" t="s">
        <v>73</v>
      </c>
      <c r="E37" s="44"/>
      <c r="F37" s="44">
        <v>180796357.74</v>
      </c>
      <c r="I37" s="116"/>
    </row>
    <row r="38" spans="1:6" ht="22.5" customHeight="1">
      <c r="A38" s="77"/>
      <c r="B38" s="78" t="s">
        <v>94</v>
      </c>
      <c r="C38" s="79"/>
      <c r="D38" s="72" t="s">
        <v>54</v>
      </c>
      <c r="E38" s="44"/>
      <c r="F38" s="44">
        <v>3608465.99</v>
      </c>
    </row>
    <row r="39" spans="1:6" ht="22.5" customHeight="1">
      <c r="A39" s="77"/>
      <c r="B39" s="78" t="s">
        <v>33</v>
      </c>
      <c r="C39" s="79"/>
      <c r="D39" s="72" t="s">
        <v>74</v>
      </c>
      <c r="E39" s="45"/>
      <c r="F39" s="44">
        <v>123793</v>
      </c>
    </row>
    <row r="40" spans="1:6" ht="22.5" customHeight="1">
      <c r="A40" s="77"/>
      <c r="B40" s="78" t="s">
        <v>22</v>
      </c>
      <c r="C40" s="79"/>
      <c r="D40" s="72" t="s">
        <v>48</v>
      </c>
      <c r="E40" s="45"/>
      <c r="F40" s="44">
        <v>2595.96</v>
      </c>
    </row>
    <row r="41" spans="1:6" ht="22.5" customHeight="1" hidden="1">
      <c r="A41" s="77"/>
      <c r="B41" s="78" t="s">
        <v>121</v>
      </c>
      <c r="C41" s="79"/>
      <c r="D41" s="72" t="s">
        <v>112</v>
      </c>
      <c r="E41" s="45"/>
      <c r="F41" s="44">
        <v>0</v>
      </c>
    </row>
    <row r="42" spans="1:6" ht="22.5" customHeight="1" hidden="1">
      <c r="A42" s="77"/>
      <c r="B42" s="78" t="s">
        <v>110</v>
      </c>
      <c r="C42" s="79"/>
      <c r="D42" s="72" t="s">
        <v>111</v>
      </c>
      <c r="E42" s="45"/>
      <c r="F42" s="44">
        <v>0</v>
      </c>
    </row>
    <row r="43" spans="1:10" s="24" customFormat="1" ht="20.25" customHeight="1">
      <c r="A43" s="123" t="s">
        <v>24</v>
      </c>
      <c r="B43" s="123"/>
      <c r="C43" s="123"/>
      <c r="D43" s="123"/>
      <c r="E43" s="123"/>
      <c r="F43" s="123"/>
      <c r="G43" s="122"/>
      <c r="H43" s="122"/>
      <c r="J43" s="62"/>
    </row>
    <row r="44" spans="1:6" ht="22.5" customHeight="1">
      <c r="A44" s="179" t="s">
        <v>4</v>
      </c>
      <c r="B44" s="180"/>
      <c r="C44" s="181"/>
      <c r="D44" s="121" t="s">
        <v>64</v>
      </c>
      <c r="E44" s="121" t="s">
        <v>65</v>
      </c>
      <c r="F44" s="121" t="s">
        <v>66</v>
      </c>
    </row>
    <row r="45" spans="1:6" ht="22.5" customHeight="1">
      <c r="A45" s="77"/>
      <c r="B45" s="78" t="s">
        <v>166</v>
      </c>
      <c r="C45" s="79"/>
      <c r="D45" s="72" t="s">
        <v>170</v>
      </c>
      <c r="E45" s="45"/>
      <c r="F45" s="44">
        <v>4539616.21</v>
      </c>
    </row>
    <row r="46" spans="1:6" ht="22.5" customHeight="1">
      <c r="A46" s="77"/>
      <c r="B46" s="78" t="s">
        <v>164</v>
      </c>
      <c r="C46" s="79"/>
      <c r="D46" s="72" t="s">
        <v>179</v>
      </c>
      <c r="E46" s="45"/>
      <c r="F46" s="44">
        <v>32000000</v>
      </c>
    </row>
    <row r="47" spans="1:6" ht="22.5" customHeight="1">
      <c r="A47" s="77"/>
      <c r="B47" s="78" t="s">
        <v>12</v>
      </c>
      <c r="C47" s="79"/>
      <c r="D47" s="125" t="s">
        <v>55</v>
      </c>
      <c r="E47" s="120"/>
      <c r="F47" s="120">
        <v>62953380.31</v>
      </c>
    </row>
    <row r="48" spans="1:6" ht="22.5" customHeight="1">
      <c r="A48" s="77"/>
      <c r="B48" s="78" t="s">
        <v>113</v>
      </c>
      <c r="C48" s="79"/>
      <c r="D48" s="72" t="s">
        <v>76</v>
      </c>
      <c r="E48" s="45"/>
      <c r="F48" s="44">
        <v>31562814.71</v>
      </c>
    </row>
    <row r="49" spans="1:6" ht="22.5" customHeight="1">
      <c r="A49" s="77"/>
      <c r="B49" s="114" t="s">
        <v>147</v>
      </c>
      <c r="C49" s="79"/>
      <c r="D49" s="115" t="s">
        <v>140</v>
      </c>
      <c r="E49" s="45"/>
      <c r="F49" s="44">
        <v>100459</v>
      </c>
    </row>
    <row r="50" spans="1:6" ht="22.5" customHeight="1">
      <c r="A50" s="77"/>
      <c r="B50" s="114" t="s">
        <v>148</v>
      </c>
      <c r="C50" s="79"/>
      <c r="D50" s="115" t="s">
        <v>140</v>
      </c>
      <c r="E50" s="45"/>
      <c r="F50" s="44">
        <v>43000</v>
      </c>
    </row>
    <row r="51" spans="1:6" ht="22.5" customHeight="1">
      <c r="A51" s="77"/>
      <c r="B51" s="74" t="s">
        <v>236</v>
      </c>
      <c r="C51" s="79"/>
      <c r="D51" s="115" t="s">
        <v>301</v>
      </c>
      <c r="E51" s="45"/>
      <c r="F51" s="44">
        <v>3361500</v>
      </c>
    </row>
    <row r="52" spans="1:6" ht="22.5" customHeight="1">
      <c r="A52" s="77"/>
      <c r="B52" s="74" t="s">
        <v>237</v>
      </c>
      <c r="C52" s="79"/>
      <c r="D52" s="115" t="s">
        <v>301</v>
      </c>
      <c r="E52" s="45"/>
      <c r="F52" s="44">
        <v>97300</v>
      </c>
    </row>
    <row r="53" spans="1:6" ht="22.5" customHeight="1">
      <c r="A53" s="77"/>
      <c r="B53" s="114" t="s">
        <v>215</v>
      </c>
      <c r="C53" s="79"/>
      <c r="D53" s="115" t="s">
        <v>216</v>
      </c>
      <c r="E53" s="45"/>
      <c r="F53" s="44">
        <v>132234</v>
      </c>
    </row>
    <row r="54" spans="1:6" ht="22.5" customHeight="1" hidden="1">
      <c r="A54" s="77"/>
      <c r="B54" s="126" t="s">
        <v>238</v>
      </c>
      <c r="C54" s="79"/>
      <c r="D54" s="115" t="s">
        <v>301</v>
      </c>
      <c r="E54" s="45"/>
      <c r="F54" s="44">
        <v>0</v>
      </c>
    </row>
    <row r="55" spans="1:6" ht="22.5" customHeight="1">
      <c r="A55" s="77"/>
      <c r="B55" s="113" t="s">
        <v>239</v>
      </c>
      <c r="C55" s="79"/>
      <c r="D55" s="115" t="s">
        <v>301</v>
      </c>
      <c r="E55" s="45"/>
      <c r="F55" s="44">
        <v>219338.72</v>
      </c>
    </row>
    <row r="56" spans="1:9" ht="22.5" customHeight="1">
      <c r="A56" s="77"/>
      <c r="B56" s="74" t="s">
        <v>240</v>
      </c>
      <c r="C56" s="79"/>
      <c r="D56" s="115" t="s">
        <v>301</v>
      </c>
      <c r="E56" s="45"/>
      <c r="F56" s="120">
        <v>10967</v>
      </c>
      <c r="I56" s="116"/>
    </row>
    <row r="57" spans="1:6" ht="22.5" customHeight="1" hidden="1">
      <c r="A57" s="77"/>
      <c r="B57" s="74" t="s">
        <v>241</v>
      </c>
      <c r="C57" s="79"/>
      <c r="D57" s="115" t="s">
        <v>301</v>
      </c>
      <c r="E57" s="45"/>
      <c r="F57" s="44">
        <v>0</v>
      </c>
    </row>
    <row r="58" spans="1:6" ht="22.5" customHeight="1" hidden="1">
      <c r="A58" s="77"/>
      <c r="B58" s="74" t="s">
        <v>242</v>
      </c>
      <c r="C58" s="79"/>
      <c r="D58" s="115" t="s">
        <v>301</v>
      </c>
      <c r="E58" s="45"/>
      <c r="F58" s="44">
        <v>0</v>
      </c>
    </row>
    <row r="59" spans="1:6" ht="22.5" customHeight="1">
      <c r="A59" s="77"/>
      <c r="B59" s="74" t="s">
        <v>243</v>
      </c>
      <c r="C59" s="79"/>
      <c r="D59" s="115" t="s">
        <v>301</v>
      </c>
      <c r="E59" s="45"/>
      <c r="F59" s="44">
        <v>3000</v>
      </c>
    </row>
    <row r="60" spans="1:6" ht="22.5" customHeight="1">
      <c r="A60" s="77"/>
      <c r="B60" s="74" t="s">
        <v>244</v>
      </c>
      <c r="C60" s="79"/>
      <c r="D60" s="115" t="s">
        <v>301</v>
      </c>
      <c r="E60" s="45"/>
      <c r="F60" s="44">
        <v>137200</v>
      </c>
    </row>
    <row r="61" spans="1:6" ht="22.5" customHeight="1">
      <c r="A61" s="77"/>
      <c r="B61" s="74" t="s">
        <v>245</v>
      </c>
      <c r="C61" s="79"/>
      <c r="D61" s="115" t="s">
        <v>301</v>
      </c>
      <c r="E61" s="45"/>
      <c r="F61" s="44">
        <v>70439</v>
      </c>
    </row>
    <row r="62" spans="1:6" ht="22.5" customHeight="1">
      <c r="A62" s="77"/>
      <c r="B62" s="74" t="s">
        <v>246</v>
      </c>
      <c r="C62" s="79"/>
      <c r="D62" s="115" t="s">
        <v>301</v>
      </c>
      <c r="E62" s="45"/>
      <c r="F62" s="44">
        <v>14085</v>
      </c>
    </row>
    <row r="63" spans="1:6" ht="22.5" customHeight="1">
      <c r="A63" s="77"/>
      <c r="B63" s="74" t="s">
        <v>247</v>
      </c>
      <c r="C63" s="79"/>
      <c r="D63" s="115" t="s">
        <v>301</v>
      </c>
      <c r="E63" s="45"/>
      <c r="F63" s="44">
        <v>74211</v>
      </c>
    </row>
    <row r="64" spans="1:6" ht="22.5" customHeight="1">
      <c r="A64" s="77"/>
      <c r="B64" s="74" t="s">
        <v>265</v>
      </c>
      <c r="C64" s="79"/>
      <c r="D64" s="115" t="s">
        <v>301</v>
      </c>
      <c r="E64" s="45"/>
      <c r="F64" s="44">
        <v>37505</v>
      </c>
    </row>
    <row r="65" spans="1:6" ht="22.5" customHeight="1">
      <c r="A65" s="77"/>
      <c r="B65" s="74" t="s">
        <v>248</v>
      </c>
      <c r="C65" s="79"/>
      <c r="D65" s="115" t="s">
        <v>301</v>
      </c>
      <c r="E65" s="45"/>
      <c r="F65" s="44">
        <v>18000</v>
      </c>
    </row>
    <row r="66" spans="1:6" ht="22.5" customHeight="1">
      <c r="A66" s="138"/>
      <c r="B66" s="113" t="s">
        <v>288</v>
      </c>
      <c r="C66" s="139"/>
      <c r="D66" s="115" t="s">
        <v>301</v>
      </c>
      <c r="E66" s="140"/>
      <c r="F66" s="141">
        <v>7070</v>
      </c>
    </row>
    <row r="67" spans="1:6" ht="22.5" customHeight="1" hidden="1">
      <c r="A67" s="138"/>
      <c r="B67" s="113" t="s">
        <v>308</v>
      </c>
      <c r="C67" s="139"/>
      <c r="D67" s="115" t="s">
        <v>301</v>
      </c>
      <c r="E67" s="140"/>
      <c r="F67" s="141">
        <v>0</v>
      </c>
    </row>
    <row r="68" spans="1:6" ht="22.5" customHeight="1" hidden="1">
      <c r="A68" s="138"/>
      <c r="B68" s="113" t="s">
        <v>250</v>
      </c>
      <c r="C68" s="139"/>
      <c r="D68" s="115" t="s">
        <v>301</v>
      </c>
      <c r="E68" s="140"/>
      <c r="F68" s="141"/>
    </row>
    <row r="69" spans="1:6" ht="22.5" customHeight="1" hidden="1">
      <c r="A69" s="138"/>
      <c r="B69" s="113" t="s">
        <v>251</v>
      </c>
      <c r="C69" s="139"/>
      <c r="D69" s="115" t="s">
        <v>301</v>
      </c>
      <c r="E69" s="140"/>
      <c r="F69" s="141"/>
    </row>
    <row r="70" spans="1:6" ht="22.5" customHeight="1" hidden="1">
      <c r="A70" s="138"/>
      <c r="B70" s="113" t="s">
        <v>252</v>
      </c>
      <c r="C70" s="139"/>
      <c r="D70" s="115" t="s">
        <v>301</v>
      </c>
      <c r="E70" s="140"/>
      <c r="F70" s="141"/>
    </row>
    <row r="71" spans="1:6" ht="22.5" customHeight="1">
      <c r="A71" s="138"/>
      <c r="B71" s="113" t="s">
        <v>293</v>
      </c>
      <c r="C71" s="139"/>
      <c r="D71" s="115" t="s">
        <v>301</v>
      </c>
      <c r="E71" s="140"/>
      <c r="F71" s="141">
        <v>14000</v>
      </c>
    </row>
    <row r="72" spans="1:6" ht="22.5" customHeight="1">
      <c r="A72" s="77"/>
      <c r="B72" s="74" t="s">
        <v>298</v>
      </c>
      <c r="C72" s="79"/>
      <c r="D72" s="115" t="s">
        <v>140</v>
      </c>
      <c r="E72" s="45"/>
      <c r="F72" s="44">
        <v>5938</v>
      </c>
    </row>
    <row r="73" spans="1:6" ht="22.5" customHeight="1">
      <c r="A73" s="77"/>
      <c r="B73" s="74" t="s">
        <v>270</v>
      </c>
      <c r="C73" s="79"/>
      <c r="D73" s="115" t="s">
        <v>140</v>
      </c>
      <c r="E73" s="45"/>
      <c r="F73" s="44">
        <v>36132</v>
      </c>
    </row>
    <row r="74" spans="1:6" ht="22.5" customHeight="1">
      <c r="A74" s="77"/>
      <c r="B74" s="74" t="s">
        <v>299</v>
      </c>
      <c r="C74" s="79"/>
      <c r="D74" s="115" t="s">
        <v>140</v>
      </c>
      <c r="E74" s="45"/>
      <c r="F74" s="44">
        <v>3422</v>
      </c>
    </row>
    <row r="75" spans="1:6" ht="22.5" customHeight="1">
      <c r="A75" s="77"/>
      <c r="B75" s="74" t="s">
        <v>300</v>
      </c>
      <c r="C75" s="79"/>
      <c r="D75" s="115" t="s">
        <v>140</v>
      </c>
      <c r="E75" s="45"/>
      <c r="F75" s="44">
        <v>1427</v>
      </c>
    </row>
    <row r="76" spans="1:6" ht="22.5" customHeight="1">
      <c r="A76" s="130"/>
      <c r="B76" s="131"/>
      <c r="C76" s="132"/>
      <c r="D76" s="133"/>
      <c r="E76" s="134"/>
      <c r="F76" s="135"/>
    </row>
    <row r="77" spans="1:9" ht="22.5" customHeight="1">
      <c r="A77" s="80"/>
      <c r="B77" s="81"/>
      <c r="C77" s="82"/>
      <c r="D77" s="83"/>
      <c r="E77" s="84">
        <f>SUM(E6:E71)</f>
        <v>319974251.64000005</v>
      </c>
      <c r="F77" s="84">
        <f>SUM(F6:F75)</f>
        <v>319974251.64000005</v>
      </c>
      <c r="I77" s="116">
        <f>E77-F77</f>
        <v>0</v>
      </c>
    </row>
    <row r="78" spans="1:6" ht="22.5" customHeight="1">
      <c r="A78" s="85"/>
      <c r="B78" s="85"/>
      <c r="C78" s="86"/>
      <c r="D78" s="87"/>
      <c r="E78" s="88"/>
      <c r="F78" s="88"/>
    </row>
    <row r="79" spans="1:6" ht="22.5" customHeight="1">
      <c r="A79" s="85"/>
      <c r="B79" s="85"/>
      <c r="C79" s="86"/>
      <c r="D79" s="87"/>
      <c r="E79" s="88"/>
      <c r="F79" s="88"/>
    </row>
    <row r="80" spans="1:6" ht="22.5" customHeight="1">
      <c r="A80" s="85"/>
      <c r="B80" s="85"/>
      <c r="C80" s="86"/>
      <c r="D80" s="87"/>
      <c r="E80" s="88"/>
      <c r="F80" s="88"/>
    </row>
    <row r="81" spans="1:6" ht="22.5" customHeight="1">
      <c r="A81" s="85"/>
      <c r="B81" s="85"/>
      <c r="C81" s="86"/>
      <c r="D81" s="87"/>
      <c r="E81" s="88"/>
      <c r="F81" s="88"/>
    </row>
    <row r="82" spans="1:6" ht="22.5" customHeight="1">
      <c r="A82" s="85"/>
      <c r="B82" s="85"/>
      <c r="C82" s="86"/>
      <c r="D82" s="87"/>
      <c r="E82" s="88"/>
      <c r="F82" s="88"/>
    </row>
    <row r="83" spans="1:6" ht="22.5" customHeight="1">
      <c r="A83" s="85"/>
      <c r="B83" s="85"/>
      <c r="C83" s="86"/>
      <c r="D83" s="87"/>
      <c r="E83" s="88"/>
      <c r="F83" s="88"/>
    </row>
    <row r="84" spans="1:6" ht="22.5" customHeight="1">
      <c r="A84" s="85"/>
      <c r="B84" s="85"/>
      <c r="C84" s="86"/>
      <c r="D84" s="87"/>
      <c r="E84" s="88"/>
      <c r="F84" s="88"/>
    </row>
    <row r="85" spans="1:6" ht="22.5" customHeight="1">
      <c r="A85" s="85"/>
      <c r="B85" s="85"/>
      <c r="C85" s="86"/>
      <c r="D85" s="87"/>
      <c r="E85" s="88"/>
      <c r="F85" s="88"/>
    </row>
    <row r="86" spans="1:6" ht="22.5" customHeight="1">
      <c r="A86" s="85"/>
      <c r="B86" s="85"/>
      <c r="C86" s="86"/>
      <c r="D86" s="87"/>
      <c r="E86" s="88"/>
      <c r="F86" s="88"/>
    </row>
    <row r="87" spans="1:6" ht="22.5" customHeight="1">
      <c r="A87" s="85"/>
      <c r="B87" s="85"/>
      <c r="C87" s="86"/>
      <c r="D87" s="87"/>
      <c r="E87" s="88"/>
      <c r="F87" s="88"/>
    </row>
    <row r="88" spans="1:6" ht="22.5" customHeight="1">
      <c r="A88" s="85"/>
      <c r="B88" s="85"/>
      <c r="C88" s="86"/>
      <c r="D88" s="87"/>
      <c r="E88" s="88"/>
      <c r="F88" s="88"/>
    </row>
    <row r="89" spans="1:6" ht="22.5" customHeight="1">
      <c r="A89" s="85"/>
      <c r="B89" s="85"/>
      <c r="C89" s="86"/>
      <c r="D89" s="87"/>
      <c r="E89" s="88"/>
      <c r="F89" s="88"/>
    </row>
    <row r="90" spans="1:6" ht="22.5" customHeight="1">
      <c r="A90" s="85"/>
      <c r="B90" s="85"/>
      <c r="C90" s="86"/>
      <c r="D90" s="87"/>
      <c r="E90" s="88"/>
      <c r="F90" s="88"/>
    </row>
    <row r="91" spans="1:6" ht="23.25" customHeight="1">
      <c r="A91" s="85"/>
      <c r="B91" s="85"/>
      <c r="C91" s="86"/>
      <c r="D91" s="87"/>
      <c r="E91" s="88"/>
      <c r="F91" s="88"/>
    </row>
    <row r="92" spans="1:6" ht="23.25" customHeight="1">
      <c r="A92" s="85"/>
      <c r="B92" s="85"/>
      <c r="C92" s="86"/>
      <c r="D92" s="87"/>
      <c r="E92" s="88"/>
      <c r="F92" s="88"/>
    </row>
    <row r="93" spans="1:6" ht="23.25" customHeight="1">
      <c r="A93" s="85"/>
      <c r="B93" s="85"/>
      <c r="C93" s="86"/>
      <c r="D93" s="87"/>
      <c r="E93" s="88"/>
      <c r="F93" s="88"/>
    </row>
    <row r="94" spans="1:6" ht="23.25" customHeight="1">
      <c r="A94" s="85"/>
      <c r="B94" s="85"/>
      <c r="C94" s="86"/>
      <c r="D94" s="87"/>
      <c r="E94" s="88"/>
      <c r="F94" s="88"/>
    </row>
    <row r="95" spans="1:6" ht="23.25" customHeight="1">
      <c r="A95" s="85"/>
      <c r="B95" s="85"/>
      <c r="C95" s="86"/>
      <c r="D95" s="87"/>
      <c r="E95" s="88"/>
      <c r="F95" s="88"/>
    </row>
    <row r="96" spans="1:6" ht="23.25" customHeight="1">
      <c r="A96" s="85"/>
      <c r="B96" s="85"/>
      <c r="C96" s="86"/>
      <c r="D96" s="87"/>
      <c r="E96" s="88"/>
      <c r="F96" s="88"/>
    </row>
    <row r="97" spans="1:6" ht="23.25" customHeight="1">
      <c r="A97" s="85"/>
      <c r="B97" s="85"/>
      <c r="C97" s="86"/>
      <c r="D97" s="87"/>
      <c r="E97" s="88"/>
      <c r="F97" s="88"/>
    </row>
    <row r="98" spans="1:6" ht="23.25" customHeight="1">
      <c r="A98" s="85"/>
      <c r="B98" s="85"/>
      <c r="C98" s="86"/>
      <c r="D98" s="87"/>
      <c r="E98" s="88"/>
      <c r="F98" s="88"/>
    </row>
    <row r="99" spans="1:6" ht="21.75" customHeight="1">
      <c r="A99" s="85"/>
      <c r="B99" s="85"/>
      <c r="C99" s="86"/>
      <c r="D99" s="87"/>
      <c r="E99" s="88"/>
      <c r="F99" s="88"/>
    </row>
    <row r="100" spans="1:6" ht="21.75" customHeight="1">
      <c r="A100" s="85"/>
      <c r="B100" s="85"/>
      <c r="C100" s="86"/>
      <c r="D100" s="87"/>
      <c r="E100" s="88"/>
      <c r="F100" s="88"/>
    </row>
  </sheetData>
  <sheetProtection/>
  <mergeCells count="5">
    <mergeCell ref="A44:C44"/>
    <mergeCell ref="A1:F1"/>
    <mergeCell ref="A2:F2"/>
    <mergeCell ref="A3:F3"/>
    <mergeCell ref="A4:C4"/>
  </mergeCells>
  <printOptions/>
  <pageMargins left="0.58" right="0.1968503937007874" top="0.78" bottom="0.26" header="0.15748031496062992" footer="0.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H8" sqref="H8"/>
    </sheetView>
  </sheetViews>
  <sheetFormatPr defaultColWidth="9.140625" defaultRowHeight="21.75"/>
  <cols>
    <col min="1" max="1" width="38.421875" style="4" customWidth="1"/>
    <col min="2" max="2" width="14.7109375" style="4" customWidth="1"/>
    <col min="3" max="4" width="14.57421875" style="4" customWidth="1"/>
    <col min="5" max="5" width="15.7109375" style="4" bestFit="1" customWidth="1"/>
    <col min="6" max="16384" width="9.140625" style="4" customWidth="1"/>
  </cols>
  <sheetData>
    <row r="1" spans="1:5" ht="24">
      <c r="A1" s="186" t="s">
        <v>32</v>
      </c>
      <c r="B1" s="186"/>
      <c r="C1" s="186"/>
      <c r="D1" s="186"/>
      <c r="E1" s="186"/>
    </row>
    <row r="2" spans="1:5" ht="24">
      <c r="A2" s="186" t="s">
        <v>77</v>
      </c>
      <c r="B2" s="186"/>
      <c r="C2" s="186"/>
      <c r="D2" s="186"/>
      <c r="E2" s="186"/>
    </row>
    <row r="3" spans="1:5" ht="24">
      <c r="A3" s="187" t="s">
        <v>310</v>
      </c>
      <c r="B3" s="187"/>
      <c r="C3" s="186"/>
      <c r="D3" s="186"/>
      <c r="E3" s="186"/>
    </row>
    <row r="4" spans="1:5" ht="24">
      <c r="A4" s="9"/>
      <c r="B4" s="9"/>
      <c r="C4" s="9"/>
      <c r="D4" s="9"/>
      <c r="E4" s="9"/>
    </row>
    <row r="5" spans="1:6" ht="24">
      <c r="A5" s="10" t="s">
        <v>11</v>
      </c>
      <c r="B5" s="20" t="s">
        <v>92</v>
      </c>
      <c r="C5" s="11" t="s">
        <v>78</v>
      </c>
      <c r="D5" s="11" t="s">
        <v>79</v>
      </c>
      <c r="E5" s="11" t="s">
        <v>80</v>
      </c>
      <c r="F5" s="6"/>
    </row>
    <row r="6" spans="1:5" ht="24">
      <c r="A6" s="12" t="s">
        <v>81</v>
      </c>
      <c r="B6" s="13">
        <v>144835.67</v>
      </c>
      <c r="C6" s="14">
        <f>2400+119747.92</f>
        <v>122147.92</v>
      </c>
      <c r="D6" s="13">
        <v>144835.67</v>
      </c>
      <c r="E6" s="13">
        <f aca="true" t="shared" si="0" ref="E6:E21">+B6+C6-D6</f>
        <v>122147.92000000001</v>
      </c>
    </row>
    <row r="7" spans="1:5" ht="24">
      <c r="A7" s="12" t="s">
        <v>83</v>
      </c>
      <c r="B7" s="15">
        <v>41116.1</v>
      </c>
      <c r="C7" s="16">
        <v>13.75</v>
      </c>
      <c r="D7" s="15">
        <v>0</v>
      </c>
      <c r="E7" s="15">
        <f t="shared" si="0"/>
        <v>41129.85</v>
      </c>
    </row>
    <row r="8" spans="1:5" ht="24">
      <c r="A8" s="12" t="s">
        <v>122</v>
      </c>
      <c r="B8" s="15">
        <v>2014</v>
      </c>
      <c r="C8" s="16">
        <v>0</v>
      </c>
      <c r="D8" s="15">
        <v>0</v>
      </c>
      <c r="E8" s="15">
        <f t="shared" si="0"/>
        <v>2014</v>
      </c>
    </row>
    <row r="9" spans="1:5" ht="24">
      <c r="A9" s="12" t="s">
        <v>82</v>
      </c>
      <c r="B9" s="15">
        <v>1931872</v>
      </c>
      <c r="C9" s="16">
        <v>37279</v>
      </c>
      <c r="D9" s="15">
        <v>143164</v>
      </c>
      <c r="E9" s="15">
        <f t="shared" si="0"/>
        <v>1825987</v>
      </c>
    </row>
    <row r="10" spans="1:5" ht="24">
      <c r="A10" s="12" t="s">
        <v>123</v>
      </c>
      <c r="B10" s="15">
        <v>10350</v>
      </c>
      <c r="C10" s="16">
        <v>0</v>
      </c>
      <c r="D10" s="15">
        <v>0</v>
      </c>
      <c r="E10" s="15">
        <f t="shared" si="0"/>
        <v>10350</v>
      </c>
    </row>
    <row r="11" spans="1:5" ht="24">
      <c r="A11" s="12" t="s">
        <v>124</v>
      </c>
      <c r="B11" s="15">
        <v>260000</v>
      </c>
      <c r="C11" s="16">
        <v>0</v>
      </c>
      <c r="D11" s="15">
        <v>0</v>
      </c>
      <c r="E11" s="15">
        <f t="shared" si="0"/>
        <v>260000</v>
      </c>
    </row>
    <row r="12" spans="1:5" ht="24">
      <c r="A12" s="12" t="s">
        <v>9</v>
      </c>
      <c r="B12" s="15">
        <v>1559</v>
      </c>
      <c r="C12" s="16">
        <v>0</v>
      </c>
      <c r="D12" s="15">
        <v>0</v>
      </c>
      <c r="E12" s="15">
        <f t="shared" si="0"/>
        <v>1559</v>
      </c>
    </row>
    <row r="13" spans="1:5" ht="24">
      <c r="A13" s="12" t="s">
        <v>84</v>
      </c>
      <c r="B13" s="15">
        <v>319149.16</v>
      </c>
      <c r="C13" s="16">
        <v>0</v>
      </c>
      <c r="D13" s="15">
        <v>0</v>
      </c>
      <c r="E13" s="15">
        <f t="shared" si="0"/>
        <v>319149.16</v>
      </c>
    </row>
    <row r="14" spans="1:5" ht="24" hidden="1">
      <c r="A14" s="12" t="s">
        <v>157</v>
      </c>
      <c r="B14" s="15">
        <v>0</v>
      </c>
      <c r="C14" s="16">
        <v>0</v>
      </c>
      <c r="D14" s="15">
        <v>0</v>
      </c>
      <c r="E14" s="15">
        <f t="shared" si="0"/>
        <v>0</v>
      </c>
    </row>
    <row r="15" spans="1:5" ht="24">
      <c r="A15" s="12" t="s">
        <v>208</v>
      </c>
      <c r="B15" s="15">
        <v>295</v>
      </c>
      <c r="C15" s="16">
        <v>0</v>
      </c>
      <c r="D15" s="15">
        <v>0</v>
      </c>
      <c r="E15" s="15">
        <f t="shared" si="0"/>
        <v>295</v>
      </c>
    </row>
    <row r="16" spans="1:5" ht="24">
      <c r="A16" s="12" t="s">
        <v>200</v>
      </c>
      <c r="B16" s="15">
        <v>3129</v>
      </c>
      <c r="C16" s="15">
        <v>2286</v>
      </c>
      <c r="D16" s="15">
        <v>2594</v>
      </c>
      <c r="E16" s="15">
        <f t="shared" si="0"/>
        <v>2821</v>
      </c>
    </row>
    <row r="17" spans="1:5" ht="24">
      <c r="A17" s="12" t="s">
        <v>255</v>
      </c>
      <c r="B17" s="15">
        <v>1371963.06</v>
      </c>
      <c r="C17" s="15">
        <v>0</v>
      </c>
      <c r="D17" s="15">
        <f>341250+7700</f>
        <v>348950</v>
      </c>
      <c r="E17" s="15">
        <f t="shared" si="0"/>
        <v>1023013.06</v>
      </c>
    </row>
    <row r="18" spans="1:5" ht="24">
      <c r="A18" s="12" t="s">
        <v>201</v>
      </c>
      <c r="B18" s="15">
        <v>0</v>
      </c>
      <c r="C18" s="15">
        <v>141956</v>
      </c>
      <c r="D18" s="15">
        <v>141956</v>
      </c>
      <c r="E18" s="15">
        <f t="shared" si="0"/>
        <v>0</v>
      </c>
    </row>
    <row r="19" spans="1:5" ht="24">
      <c r="A19" s="12" t="s">
        <v>91</v>
      </c>
      <c r="B19" s="15">
        <v>0</v>
      </c>
      <c r="C19" s="15">
        <v>63400</v>
      </c>
      <c r="D19" s="15">
        <v>63400</v>
      </c>
      <c r="E19" s="15">
        <f t="shared" si="0"/>
        <v>0</v>
      </c>
    </row>
    <row r="20" spans="1:5" ht="24">
      <c r="A20" s="17" t="s">
        <v>89</v>
      </c>
      <c r="B20" s="15">
        <v>0</v>
      </c>
      <c r="C20" s="15">
        <v>268200</v>
      </c>
      <c r="D20" s="15">
        <v>268200</v>
      </c>
      <c r="E20" s="15">
        <f t="shared" si="0"/>
        <v>0</v>
      </c>
    </row>
    <row r="21" spans="1:5" ht="24">
      <c r="A21" s="17" t="s">
        <v>90</v>
      </c>
      <c r="B21" s="15">
        <v>0</v>
      </c>
      <c r="C21" s="15">
        <v>284886.02</v>
      </c>
      <c r="D21" s="15">
        <v>284886.02</v>
      </c>
      <c r="E21" s="15">
        <f t="shared" si="0"/>
        <v>0</v>
      </c>
    </row>
    <row r="22" spans="1:5" ht="24">
      <c r="A22" s="12"/>
      <c r="B22" s="21"/>
      <c r="C22" s="21"/>
      <c r="D22" s="21"/>
      <c r="E22" s="21"/>
    </row>
    <row r="23" spans="1:5" ht="24.75" thickBot="1">
      <c r="A23" s="22"/>
      <c r="B23" s="23">
        <f>SUM(B6:B22)</f>
        <v>4086282.99</v>
      </c>
      <c r="C23" s="23">
        <f>SUM(C6:C22)</f>
        <v>920168.69</v>
      </c>
      <c r="D23" s="23">
        <f>SUM(D6:D22)</f>
        <v>1397985.69</v>
      </c>
      <c r="E23" s="23">
        <f>SUM(E6:E22)</f>
        <v>3608465.99</v>
      </c>
    </row>
    <row r="24" spans="1:5" ht="24.75" thickTop="1">
      <c r="A24" s="12"/>
      <c r="B24" s="12"/>
      <c r="C24" s="12"/>
      <c r="D24" s="12"/>
      <c r="E24" s="12"/>
    </row>
    <row r="25" spans="1:5" ht="24">
      <c r="A25" s="10" t="s">
        <v>85</v>
      </c>
      <c r="B25" s="10"/>
      <c r="C25" s="12"/>
      <c r="D25" s="12"/>
      <c r="E25" s="12"/>
    </row>
    <row r="26" spans="1:5" ht="24" customHeight="1">
      <c r="A26" s="89" t="s">
        <v>125</v>
      </c>
      <c r="B26" s="18"/>
      <c r="C26" s="12"/>
      <c r="D26" s="12"/>
      <c r="E26" s="9" t="s">
        <v>86</v>
      </c>
    </row>
    <row r="27" spans="1:5" ht="24">
      <c r="A27" s="12" t="s">
        <v>126</v>
      </c>
      <c r="B27" s="12"/>
      <c r="C27" s="12"/>
      <c r="D27" s="12"/>
      <c r="E27" s="19"/>
    </row>
    <row r="28" spans="1:5" ht="24">
      <c r="A28" s="12" t="s">
        <v>127</v>
      </c>
      <c r="B28" s="12"/>
      <c r="C28" s="12"/>
      <c r="D28" s="12"/>
      <c r="E28" s="19">
        <v>0</v>
      </c>
    </row>
    <row r="29" spans="1:5" ht="24">
      <c r="A29" s="12" t="s">
        <v>128</v>
      </c>
      <c r="B29" s="12"/>
      <c r="C29" s="12"/>
      <c r="D29" s="12"/>
      <c r="E29" s="19">
        <v>0</v>
      </c>
    </row>
    <row r="30" spans="1:5" ht="24.75" thickBot="1">
      <c r="A30" s="12"/>
      <c r="B30" s="12"/>
      <c r="C30" s="12"/>
      <c r="D30" s="10" t="s">
        <v>34</v>
      </c>
      <c r="E30" s="90">
        <f>SUM(E28:E29)</f>
        <v>0</v>
      </c>
    </row>
    <row r="31" spans="1:5" ht="24.75" thickTop="1">
      <c r="A31" s="12"/>
      <c r="B31" s="12"/>
      <c r="C31" s="12"/>
      <c r="D31" s="12"/>
      <c r="E31" s="12"/>
    </row>
  </sheetData>
  <sheetProtection/>
  <mergeCells count="3">
    <mergeCell ref="A1:E1"/>
    <mergeCell ref="A2:E2"/>
    <mergeCell ref="A3:E3"/>
  </mergeCells>
  <printOptions/>
  <pageMargins left="1" right="0.22" top="0.84" bottom="0.76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3">
      <selection activeCell="I9" sqref="I9"/>
    </sheetView>
  </sheetViews>
  <sheetFormatPr defaultColWidth="9.140625" defaultRowHeight="21.75"/>
  <cols>
    <col min="1" max="1" width="37.8515625" style="4" customWidth="1"/>
    <col min="2" max="2" width="15.421875" style="4" customWidth="1"/>
    <col min="3" max="3" width="15.7109375" style="4" customWidth="1"/>
    <col min="4" max="4" width="16.00390625" style="4" customWidth="1"/>
    <col min="5" max="5" width="15.7109375" style="4" bestFit="1" customWidth="1"/>
    <col min="6" max="6" width="7.00390625" style="4" customWidth="1"/>
    <col min="7" max="16384" width="9.140625" style="4" customWidth="1"/>
  </cols>
  <sheetData>
    <row r="1" spans="1:5" ht="24">
      <c r="A1" s="186" t="s">
        <v>32</v>
      </c>
      <c r="B1" s="186"/>
      <c r="C1" s="186"/>
      <c r="D1" s="186"/>
      <c r="E1" s="186"/>
    </row>
    <row r="2" spans="1:5" ht="24">
      <c r="A2" s="186" t="s">
        <v>77</v>
      </c>
      <c r="B2" s="186"/>
      <c r="C2" s="186"/>
      <c r="D2" s="186"/>
      <c r="E2" s="186"/>
    </row>
    <row r="3" spans="1:5" ht="24">
      <c r="A3" s="186" t="s">
        <v>311</v>
      </c>
      <c r="B3" s="186"/>
      <c r="C3" s="186"/>
      <c r="D3" s="186"/>
      <c r="E3" s="186"/>
    </row>
    <row r="4" spans="1:5" ht="21" customHeight="1">
      <c r="A4" s="9"/>
      <c r="B4" s="9"/>
      <c r="C4" s="9"/>
      <c r="D4" s="9"/>
      <c r="E4" s="9"/>
    </row>
    <row r="5" spans="1:6" ht="24">
      <c r="A5" s="10" t="s">
        <v>11</v>
      </c>
      <c r="B5" s="20" t="s">
        <v>92</v>
      </c>
      <c r="C5" s="11" t="s">
        <v>78</v>
      </c>
      <c r="D5" s="11" t="s">
        <v>79</v>
      </c>
      <c r="E5" s="11" t="s">
        <v>80</v>
      </c>
      <c r="F5" s="6"/>
    </row>
    <row r="6" spans="1:5" ht="24">
      <c r="A6" s="12" t="s">
        <v>81</v>
      </c>
      <c r="B6" s="13">
        <v>46392.66</v>
      </c>
      <c r="C6" s="14">
        <f>16296.29+67816.35+40700.3+72203.84+54816.65+80586.29+180243.05+65719.03+76004.24+144835.67+122147.92</f>
        <v>921369.6300000001</v>
      </c>
      <c r="D6" s="13">
        <f>46392.66+16296.29+67816.35+40700.3+72203.84+54816.65+80586.29+180243.05+65719.03+76004.24+144835.67</f>
        <v>845614.37</v>
      </c>
      <c r="E6" s="13">
        <f aca="true" t="shared" si="0" ref="E6:E22">+B6+C6-D6</f>
        <v>122147.92000000016</v>
      </c>
    </row>
    <row r="7" spans="1:5" ht="24">
      <c r="A7" s="12" t="s">
        <v>83</v>
      </c>
      <c r="B7" s="15">
        <v>38218.29</v>
      </c>
      <c r="C7" s="16">
        <f>3.8+21.3+539.65+1024.9+747.35+440.1+45.9+36.7+38.11+13.75</f>
        <v>2911.56</v>
      </c>
      <c r="D7" s="15">
        <v>0</v>
      </c>
      <c r="E7" s="15">
        <f t="shared" si="0"/>
        <v>41129.85</v>
      </c>
    </row>
    <row r="8" spans="1:5" ht="24">
      <c r="A8" s="12" t="s">
        <v>122</v>
      </c>
      <c r="B8" s="15">
        <v>0</v>
      </c>
      <c r="C8" s="16">
        <f>3063500+2014+1033200</f>
        <v>4098714</v>
      </c>
      <c r="D8" s="15">
        <f>221100+707400+1304600+151150+1305850+406600</f>
        <v>4096700</v>
      </c>
      <c r="E8" s="15">
        <f t="shared" si="0"/>
        <v>2014</v>
      </c>
    </row>
    <row r="9" spans="1:5" ht="24">
      <c r="A9" s="12" t="s">
        <v>82</v>
      </c>
      <c r="B9" s="15">
        <v>2076657</v>
      </c>
      <c r="C9" s="127">
        <f>150302+105836+58813+170875+58655+67875+42042+52537+114217+43006+37279</f>
        <v>901437</v>
      </c>
      <c r="D9" s="15">
        <f>211216+35863+8541+44890+165203+14849+210158+61990+256233+143164</f>
        <v>1152107</v>
      </c>
      <c r="E9" s="15">
        <f t="shared" si="0"/>
        <v>1825987</v>
      </c>
    </row>
    <row r="10" spans="1:5" ht="24">
      <c r="A10" s="12" t="s">
        <v>123</v>
      </c>
      <c r="B10" s="15">
        <v>19350</v>
      </c>
      <c r="C10" s="15">
        <v>0</v>
      </c>
      <c r="D10" s="15">
        <v>9000</v>
      </c>
      <c r="E10" s="15">
        <f t="shared" si="0"/>
        <v>10350</v>
      </c>
    </row>
    <row r="11" spans="1:5" ht="24">
      <c r="A11" s="12" t="s">
        <v>124</v>
      </c>
      <c r="B11" s="15">
        <v>480000</v>
      </c>
      <c r="C11" s="15">
        <v>40000</v>
      </c>
      <c r="D11" s="15">
        <f>100000+120000+40000</f>
        <v>260000</v>
      </c>
      <c r="E11" s="15">
        <f t="shared" si="0"/>
        <v>260000</v>
      </c>
    </row>
    <row r="12" spans="1:5" ht="24">
      <c r="A12" s="12" t="s">
        <v>9</v>
      </c>
      <c r="B12" s="15">
        <v>0</v>
      </c>
      <c r="C12" s="15">
        <f>8220+1499+40+331</f>
        <v>10090</v>
      </c>
      <c r="D12" s="15">
        <v>8531</v>
      </c>
      <c r="E12" s="15">
        <f t="shared" si="0"/>
        <v>1559</v>
      </c>
    </row>
    <row r="13" spans="1:5" ht="24">
      <c r="A13" s="12" t="s">
        <v>84</v>
      </c>
      <c r="B13" s="15">
        <v>822721.24</v>
      </c>
      <c r="C13" s="15">
        <f>1382.65+2045.27</f>
        <v>3427.92</v>
      </c>
      <c r="D13" s="15">
        <v>507000</v>
      </c>
      <c r="E13" s="15">
        <f t="shared" si="0"/>
        <v>319149.16000000003</v>
      </c>
    </row>
    <row r="14" spans="1:5" ht="24">
      <c r="A14" s="12" t="s">
        <v>157</v>
      </c>
      <c r="B14" s="15">
        <v>0</v>
      </c>
      <c r="C14" s="16">
        <f>4000+236410.5</f>
        <v>240410.5</v>
      </c>
      <c r="D14" s="16">
        <f>4000+236410.5</f>
        <v>240410.5</v>
      </c>
      <c r="E14" s="15">
        <f t="shared" si="0"/>
        <v>0</v>
      </c>
    </row>
    <row r="15" spans="1:5" ht="24">
      <c r="A15" s="12" t="s">
        <v>208</v>
      </c>
      <c r="B15" s="15">
        <v>295</v>
      </c>
      <c r="C15" s="16">
        <v>0</v>
      </c>
      <c r="D15" s="16">
        <v>0</v>
      </c>
      <c r="E15" s="15">
        <f t="shared" si="0"/>
        <v>295</v>
      </c>
    </row>
    <row r="16" spans="1:5" ht="24">
      <c r="A16" s="12" t="s">
        <v>200</v>
      </c>
      <c r="B16" s="15">
        <v>2797</v>
      </c>
      <c r="C16" s="16">
        <f>5226+1630+6111+6842+3126+2286</f>
        <v>25221</v>
      </c>
      <c r="D16" s="16">
        <f>420+5226+1630+6111+6020+3196+2594</f>
        <v>25197</v>
      </c>
      <c r="E16" s="15">
        <f t="shared" si="0"/>
        <v>2821</v>
      </c>
    </row>
    <row r="17" spans="1:5" ht="24">
      <c r="A17" s="12" t="s">
        <v>255</v>
      </c>
      <c r="B17" s="15">
        <v>0</v>
      </c>
      <c r="C17" s="16">
        <f>667033.52+1100700+550350+3035.54+4800</f>
        <v>2325919.06</v>
      </c>
      <c r="D17" s="16">
        <f>9260+59466+8600+802250+43580+7280+23520+348950</f>
        <v>1302906</v>
      </c>
      <c r="E17" s="15">
        <f>+B17+C17-D17</f>
        <v>1023013.06</v>
      </c>
    </row>
    <row r="18" spans="1:5" ht="24">
      <c r="A18" s="12" t="s">
        <v>261</v>
      </c>
      <c r="B18" s="15">
        <v>0</v>
      </c>
      <c r="C18" s="16">
        <v>8318</v>
      </c>
      <c r="D18" s="16">
        <v>8318</v>
      </c>
      <c r="E18" s="15">
        <f>+B18+C18-D18</f>
        <v>0</v>
      </c>
    </row>
    <row r="19" spans="1:5" ht="24">
      <c r="A19" s="12" t="s">
        <v>201</v>
      </c>
      <c r="B19" s="15">
        <v>0</v>
      </c>
      <c r="C19" s="16">
        <f>137067+136317+136043+136997+137985+138969+140354+141492+141109+140977+141956</f>
        <v>1529266</v>
      </c>
      <c r="D19" s="16">
        <f>137067+136317+136043+136997+137985+138969+140354+141492+141109+140977+141956</f>
        <v>1529266</v>
      </c>
      <c r="E19" s="15">
        <f t="shared" si="0"/>
        <v>0</v>
      </c>
    </row>
    <row r="20" spans="1:5" ht="24">
      <c r="A20" s="12" t="s">
        <v>91</v>
      </c>
      <c r="B20" s="15">
        <v>0</v>
      </c>
      <c r="C20" s="16">
        <f>63400+63400+63400+63400+63400+63400+63400+63400+63400+63400+63400</f>
        <v>697400</v>
      </c>
      <c r="D20" s="16">
        <f>63400+63400+63400+63400+63400+63400+63400+63400+63400+63400+63400</f>
        <v>697400</v>
      </c>
      <c r="E20" s="15">
        <f t="shared" si="0"/>
        <v>0</v>
      </c>
    </row>
    <row r="21" spans="1:5" ht="24">
      <c r="A21" s="17" t="s">
        <v>89</v>
      </c>
      <c r="B21" s="15">
        <v>0</v>
      </c>
      <c r="C21" s="16">
        <f>256600+248600+261500+267500+263200+263200+263200+266200+268200+268200+268200</f>
        <v>2894600</v>
      </c>
      <c r="D21" s="16">
        <f>256600+248600+261500+267500+263200+263200+263200+266200+268200+268200+268200</f>
        <v>2894600</v>
      </c>
      <c r="E21" s="15">
        <f t="shared" si="0"/>
        <v>0</v>
      </c>
    </row>
    <row r="22" spans="1:5" ht="24">
      <c r="A22" s="17" t="s">
        <v>90</v>
      </c>
      <c r="B22" s="15">
        <v>0</v>
      </c>
      <c r="C22" s="16">
        <f>330725.53+327923.53+322892.07+325666.46+300130.4+303432.94+284430.56+283280.73+289239.76+286089.6+284886.02</f>
        <v>3338697.6000000006</v>
      </c>
      <c r="D22" s="16">
        <f>330725.53+327923.53+322892.07+325666.46+300130.4+303432.94+284430.56+283280.73+289239.76+286089.6+284886.02</f>
        <v>3338697.6000000006</v>
      </c>
      <c r="E22" s="15">
        <f t="shared" si="0"/>
        <v>0</v>
      </c>
    </row>
    <row r="23" spans="1:5" ht="24">
      <c r="A23" s="12"/>
      <c r="B23" s="21"/>
      <c r="C23" s="21"/>
      <c r="D23" s="21"/>
      <c r="E23" s="21"/>
    </row>
    <row r="24" spans="1:5" ht="24.75" thickBot="1">
      <c r="A24" s="22"/>
      <c r="B24" s="23">
        <f>SUM(B6:B23)</f>
        <v>3486431.1900000004</v>
      </c>
      <c r="C24" s="23">
        <f>SUM(C6:C23)</f>
        <v>17037782.27</v>
      </c>
      <c r="D24" s="23">
        <f>SUM(D6:D23)</f>
        <v>16915747.470000003</v>
      </c>
      <c r="E24" s="23">
        <f>SUM(E6:E23)</f>
        <v>3608465.9900000007</v>
      </c>
    </row>
    <row r="25" spans="1:5" ht="21" customHeight="1" thickTop="1">
      <c r="A25" s="12"/>
      <c r="B25" s="12"/>
      <c r="C25" s="12"/>
      <c r="D25" s="12"/>
      <c r="E25" s="12"/>
    </row>
    <row r="26" spans="1:5" ht="24">
      <c r="A26" s="10" t="s">
        <v>85</v>
      </c>
      <c r="B26" s="10"/>
      <c r="C26" s="12"/>
      <c r="D26" s="12"/>
      <c r="E26" s="12"/>
    </row>
    <row r="27" spans="1:5" ht="24" customHeight="1">
      <c r="A27" s="89" t="s">
        <v>125</v>
      </c>
      <c r="B27" s="18"/>
      <c r="C27" s="12"/>
      <c r="D27" s="12"/>
      <c r="E27" s="9" t="s">
        <v>86</v>
      </c>
    </row>
    <row r="28" spans="1:5" ht="24">
      <c r="A28" s="12" t="s">
        <v>126</v>
      </c>
      <c r="B28" s="12"/>
      <c r="C28" s="12"/>
      <c r="D28" s="12"/>
      <c r="E28" s="19"/>
    </row>
    <row r="29" spans="1:5" ht="24">
      <c r="A29" s="12" t="s">
        <v>127</v>
      </c>
      <c r="B29" s="12"/>
      <c r="C29" s="12"/>
      <c r="D29" s="12"/>
      <c r="E29" s="19">
        <v>212255.9</v>
      </c>
    </row>
    <row r="30" spans="1:5" ht="24">
      <c r="A30" s="12" t="s">
        <v>128</v>
      </c>
      <c r="B30" s="12"/>
      <c r="C30" s="12"/>
      <c r="D30" s="12"/>
      <c r="E30" s="19">
        <f>290000+1165200.14</f>
        <v>1455200.14</v>
      </c>
    </row>
    <row r="31" spans="1:5" ht="24.75" thickBot="1">
      <c r="A31" s="12"/>
      <c r="B31" s="12"/>
      <c r="C31" s="12"/>
      <c r="D31" s="10" t="s">
        <v>34</v>
      </c>
      <c r="E31" s="90">
        <f>SUM(E29:E30)</f>
        <v>1667456.0399999998</v>
      </c>
    </row>
    <row r="32" spans="1:5" ht="21.75" customHeight="1" thickTop="1">
      <c r="A32" s="12"/>
      <c r="B32" s="12"/>
      <c r="C32" s="12"/>
      <c r="D32" s="12"/>
      <c r="E32" s="12"/>
    </row>
  </sheetData>
  <sheetProtection/>
  <mergeCells count="3">
    <mergeCell ref="A1:E1"/>
    <mergeCell ref="A2:E2"/>
    <mergeCell ref="A3:E3"/>
  </mergeCells>
  <printOptions/>
  <pageMargins left="0.71" right="0.24" top="1" bottom="0.5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FanancE</cp:lastModifiedBy>
  <cp:lastPrinted>2015-09-17T12:50:19Z</cp:lastPrinted>
  <dcterms:created xsi:type="dcterms:W3CDTF">2004-10-29T06:51:22Z</dcterms:created>
  <dcterms:modified xsi:type="dcterms:W3CDTF">2015-09-17T12:50:50Z</dcterms:modified>
  <cp:category/>
  <cp:version/>
  <cp:contentType/>
  <cp:contentStatus/>
</cp:coreProperties>
</file>