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95" windowHeight="6870" tabRatio="505" activeTab="2"/>
  </bookViews>
  <sheets>
    <sheet name="กระแสเงินสด" sheetId="1" r:id="rId1"/>
    <sheet name="Sheet1" sheetId="2" r:id="rId2"/>
    <sheet name="รับจ่าย" sheetId="3" r:id="rId3"/>
    <sheet name="งบทดลอง" sheetId="4" r:id="rId4"/>
    <sheet name="หมายเหตุ" sheetId="5" r:id="rId5"/>
    <sheet name="หมายเหตุยกมา" sheetId="6" r:id="rId6"/>
    <sheet name="รับจ่ายใหม่" sheetId="7" r:id="rId7"/>
  </sheets>
  <definedNames>
    <definedName name="_xlnm.Print_Area" localSheetId="1">'Sheet1'!$A$1:$P$139</definedName>
    <definedName name="_xlnm.Print_Area" localSheetId="0">'กระแสเงินสด'!$A$1:$M$131</definedName>
    <definedName name="_xlnm.Print_Area" localSheetId="3">'งบทดลอง'!$A$1:$I$63</definedName>
    <definedName name="_xlnm.Print_Area" localSheetId="2">'รับจ่าย'!$A$1:$X$151</definedName>
    <definedName name="_xlnm.Print_Area" localSheetId="6">'รับจ่ายใหม่'!$A$1:$T$166</definedName>
    <definedName name="_xlnm.Print_Area" localSheetId="4">'หมายเหตุ'!$A$1:$R$42</definedName>
    <definedName name="_xlnm.Print_Area" localSheetId="5">'หมายเหตุยกมา'!$A$1:$I$38</definedName>
  </definedNames>
  <calcPr fullCalcOnLoad="1"/>
</workbook>
</file>

<file path=xl/sharedStrings.xml><?xml version="1.0" encoding="utf-8"?>
<sst xmlns="http://schemas.openxmlformats.org/spreadsheetml/2006/main" count="1280" uniqueCount="364">
  <si>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</si>
  <si>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</si>
  <si>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</si>
  <si>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</si>
  <si>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</si>
  <si>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</si>
  <si>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</si>
  <si>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</si>
  <si>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</si>
  <si>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รายได้เบ็ดเตล็ด</t>
  </si>
  <si>
    <t>เงินอุดหนุน</t>
  </si>
  <si>
    <t>เงินรับฝาก ( หมายเหตุ 2 )</t>
  </si>
  <si>
    <t>เงินสะสม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</si>
  <si>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</si>
  <si>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</si>
  <si>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</si>
  <si>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</si>
  <si>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</si>
  <si>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</si>
  <si>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</si>
  <si>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</si>
  <si>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</si>
  <si>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 xml:space="preserve"> - 2 -</t>
  </si>
  <si>
    <t>รวมรายจ่าย</t>
  </si>
  <si>
    <t>สูงกว่า</t>
  </si>
  <si>
    <t>ยอดยกไป</t>
  </si>
  <si>
    <t>รวมรายรับ</t>
  </si>
  <si>
    <t>รายรับ                           รายจ่าย</t>
  </si>
  <si>
    <t xml:space="preserve"> ต่ำกว่า </t>
  </si>
  <si>
    <t>เงินฝาก ก.ส.ท.</t>
  </si>
  <si>
    <t>เทศบาลตำบลบ้านเป็ด</t>
  </si>
  <si>
    <t>รายจ่ายรอจ่าย</t>
  </si>
  <si>
    <t>รวม</t>
  </si>
  <si>
    <t>411000</t>
  </si>
  <si>
    <t>412000</t>
  </si>
  <si>
    <t>413000</t>
  </si>
  <si>
    <t>415000</t>
  </si>
  <si>
    <t>421000</t>
  </si>
  <si>
    <t>531000</t>
  </si>
  <si>
    <t>532000</t>
  </si>
  <si>
    <t>533000</t>
  </si>
  <si>
    <t>534000</t>
  </si>
  <si>
    <t>541000</t>
  </si>
  <si>
    <t>542000</t>
  </si>
  <si>
    <t>431000</t>
  </si>
  <si>
    <t>รายงานกระแสเงินสด</t>
  </si>
  <si>
    <t>รายรับ</t>
  </si>
  <si>
    <t>ตั้งแต่ต้นปีถึงปัจจุบัน</t>
  </si>
  <si>
    <t>รับเงินรายรับ</t>
  </si>
  <si>
    <t>รับเงินรับฝาก</t>
  </si>
  <si>
    <t>ลูกหนี้ - ภาษีโรงเรือนและที่ดิน</t>
  </si>
  <si>
    <t>รับสูง หรือ (ต่ำ) กว่าจ่าย</t>
  </si>
  <si>
    <t xml:space="preserve">งบทดลอง </t>
  </si>
  <si>
    <t>รหัสบัญชี</t>
  </si>
  <si>
    <t>เดบิต</t>
  </si>
  <si>
    <t>เครดิต</t>
  </si>
  <si>
    <t>เงินฝากธนาคารกรุงไทย - ขอนแก่น 405-1-60340-7</t>
  </si>
  <si>
    <t>320000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</si>
  <si>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</si>
  <si>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</si>
  <si>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</si>
  <si>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</si>
  <si>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</si>
  <si>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</si>
  <si>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5 %</t>
  </si>
  <si>
    <t>โครงการเศรษฐกิจชุมชน</t>
  </si>
  <si>
    <t>รายจ่ายค้างจ่าย ( หมายเหตุ 3 )</t>
  </si>
  <si>
    <t>จำนวนเงิน</t>
  </si>
  <si>
    <t>เงินสด</t>
  </si>
  <si>
    <t>ลูกหนี้ - เงินยืมเงินงบประมาณ</t>
  </si>
  <si>
    <t>สินเชื่อธนาคารกรุงไทย</t>
  </si>
  <si>
    <t>สินเชื่อธนาคารออมสิน</t>
  </si>
  <si>
    <t>สินเชื่อธนาคารอาคารสงเคราะห์</t>
  </si>
  <si>
    <t>ยกมา</t>
  </si>
  <si>
    <t>ลูกหนี้ - ภาษีบำรุงท้องที่</t>
  </si>
  <si>
    <t>เงินรับฝาก (หมายเหตุ 2)</t>
  </si>
  <si>
    <t>เงินฝากธนาคารกรุงไทย - ขอนแก่น 405-6-06615-9</t>
  </si>
  <si>
    <t>561000</t>
  </si>
  <si>
    <t>รับคืน - เงินสะสม</t>
  </si>
  <si>
    <t>ลูกหนี้เงินยืมเงินสะสม</t>
  </si>
  <si>
    <t>ลูกหนี้เงินยืมเงินงบประมาณ</t>
  </si>
  <si>
    <t>เงินฝากธนาคารกรุงไทย - ขอนแก่น 405-2-19253-2</t>
  </si>
  <si>
    <t xml:space="preserve">  </t>
  </si>
  <si>
    <t>ลูกหนี้ - โครงการเศรษฐกิจชุมชน</t>
  </si>
  <si>
    <t>เงินฝากธนาคารกรุงไทย - ขอนแก่น 405-0-05696-8</t>
  </si>
  <si>
    <t>เงินฝากจังหวัด</t>
  </si>
  <si>
    <t>120100</t>
  </si>
  <si>
    <t>เงินอุดหนุนระบุวัตถุประสงค์ค้างจ่าย</t>
  </si>
  <si>
    <t xml:space="preserve">เงินทุนสำรองเงินสะสม </t>
  </si>
  <si>
    <t>รับคืนลูกหนี้ - ภาษีโรงเรือนและที่ดิน</t>
  </si>
  <si>
    <t>จ่ายเงินตามงบประมาณ</t>
  </si>
  <si>
    <t>จ่ายเงินรับฝาก</t>
  </si>
  <si>
    <t>จ่ายเงินสะสม</t>
  </si>
  <si>
    <t>จ่ายเงินยืมเงินงบประมาณ</t>
  </si>
  <si>
    <t>จ่ายเงินยืมเงินสะสม</t>
  </si>
  <si>
    <t>จ่ายเงินอุดหนุนระบุวัตถุประสงค์ค้างจ่าย</t>
  </si>
  <si>
    <t>รายจ่ายผัดส่งใบสำคัญ</t>
  </si>
  <si>
    <t>เงินประกันซอง</t>
  </si>
  <si>
    <t>เงินประกันสัญญาเช่าทรัพย์สิน</t>
  </si>
  <si>
    <t>หมวดที่จ่าย</t>
  </si>
  <si>
    <t>รายงานรับ - จ่าย  เงินสด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</si>
  <si>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</si>
  <si>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</si>
  <si>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</si>
  <si>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</si>
  <si>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</si>
  <si>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 xml:space="preserve">        - ภาษีบำรุงท้องที่</t>
  </si>
  <si>
    <t xml:space="preserve">        - โครงการเศรษฐกิจชุมชน</t>
  </si>
  <si>
    <t xml:space="preserve">        - เงินยืมเงินงบประมาณ</t>
  </si>
  <si>
    <t xml:space="preserve">        - เงินยืมเงินสะสม</t>
  </si>
  <si>
    <t>310000</t>
  </si>
  <si>
    <t>441002</t>
  </si>
  <si>
    <t>จ่ายเงินฝากสมทบ ก.ส.ท.</t>
  </si>
  <si>
    <t>หมวดเงินอุดหนุน</t>
  </si>
  <si>
    <t xml:space="preserve"> -</t>
  </si>
  <si>
    <r>
      <t>รายรับ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 หมายเหตุ 1 )</t>
    </r>
  </si>
  <si>
    <t>ลูกหนี้ - เงินยืมเงินสะสม</t>
  </si>
  <si>
    <t>รับคืน - เงินยืมเงินงบประมาณ</t>
  </si>
  <si>
    <t>รับคืน - เงินยืมเงินสะสม</t>
  </si>
  <si>
    <t>รับคืน - เงินยืมโครงการเศรษฐกิจชุมชน</t>
  </si>
  <si>
    <t>ภาษีหน้าฎีกา</t>
  </si>
  <si>
    <t>ภาษีหน้าฏีกา</t>
  </si>
  <si>
    <t>รับคืน - ค่าตอบแทน</t>
  </si>
  <si>
    <t>รับคืน - ค่าใช้สอย</t>
  </si>
  <si>
    <t>สหกรณ์ออมทรัพย์พนักงานเทศบาล</t>
  </si>
  <si>
    <t>รับคืน - ค่าสาธารณูปโภค</t>
  </si>
  <si>
    <t>จ่ายเงินยืมโครงการเศรษฐกิจชุมชน</t>
  </si>
  <si>
    <t>ลูกหนี้เงินยืมโครงการเศรษฐกิจชุมชน</t>
  </si>
  <si>
    <t>รับคืน - ค่าจ้างชั่วคราว</t>
  </si>
  <si>
    <t>รับคืน - งบกลาง</t>
  </si>
  <si>
    <t>เงินรายรับ (หมายเหตุ 1)</t>
  </si>
  <si>
    <t>เจ้าหนี้เงินกู้ - ก.ส.ท.</t>
  </si>
  <si>
    <t>เจ้าหนี้เงินกู้ - ธนาคารกรุงไทย</t>
  </si>
  <si>
    <t xml:space="preserve">ทรัพย์สินเกิดจากเงินกู้ </t>
  </si>
  <si>
    <t>จ่ายเจ้าหนี้เงินกู้ - ธ.กรุงไทย</t>
  </si>
  <si>
    <t>เจ้าหนี้เงินกู้ - ธ.กรุงไทย</t>
  </si>
  <si>
    <t>ลูกหนี้ภาษีโรงเรือนและที่ดิน</t>
  </si>
  <si>
    <t>ลูกหนี้ภาษีบำรุงท้องที่</t>
  </si>
  <si>
    <t>ลูกหนี้  -  เงินยืมเงินงบประมาณ</t>
  </si>
  <si>
    <t xml:space="preserve">         -  เงินยืมเงินสะสม</t>
  </si>
  <si>
    <t xml:space="preserve">         -  โครงการเศรษฐกิจชุมชน</t>
  </si>
  <si>
    <t xml:space="preserve">         -  ภาษีโรงเรือนและที่ดิน</t>
  </si>
  <si>
    <t xml:space="preserve">         -  ภาษีบำรุงท้องที่</t>
  </si>
  <si>
    <t>รับคืนลูกหนี้ - ภาษีบำรุงท้องที่</t>
  </si>
  <si>
    <t>จ่ายเงินอุดหนุนระบุวัตถุประสงค์ - ค่าใช้จ่ายรายหัว ร.ร.เทศบาลฯ</t>
  </si>
  <si>
    <t>จ่ายเงินอุดหนุนระบุวัตถุประสงค์ - ค่ากิจกรรมผู้เรียนรู้ ร.ร.เทศบาลฯ</t>
  </si>
  <si>
    <t>รับเงินกู้ - ก.ส.ท.</t>
  </si>
  <si>
    <t>ทรัพย์สินเกิดจากเงินกู้</t>
  </si>
  <si>
    <t xml:space="preserve">ทรัพย์สินที่เกิดจากเงินกู้ </t>
  </si>
  <si>
    <t>เงินอุดหนุนระบุวัตถุประสงค์ - ครุภัณฑ์การศึกษาศูนย์พัฒนาเด็กเล็ก</t>
  </si>
  <si>
    <t>จ่ายเงินอุดหนุนระบุวัตถุประสงค์ - ค่าหนังสือ ร.ร.เทศบาลฯ</t>
  </si>
  <si>
    <t>จ่ายเงินอุดหนุนระบุวัตถุประสงค์ - ค่าสื่อการเรียนฯ ศูนย์เด็กฯบ้านเป็ด</t>
  </si>
  <si>
    <t>จ่ายเงินอุดหนุนระบุวัตถุประสงค์ - ค่าสื่อการเรียนฯ ศูนย์เด็กฯโคกฟันโปง</t>
  </si>
  <si>
    <t>จ่ายเงินอุดหนุนระบุวัตถุประสงค์ - โครงการป้องกันแก้ไขปัญหายาเสพติด</t>
  </si>
  <si>
    <t>จ่ายเงินอุดหนุนระบุวัตถุประสงค์ - คก.ก่อสร้างวางท่อระบายน้ำถนนสีหราชฯ</t>
  </si>
  <si>
    <t>เงินเดือน (ฝ่ายการเมือง)</t>
  </si>
  <si>
    <t>เงินเดือน (ฝ่ายประจำ)</t>
  </si>
  <si>
    <t>สวัสดิการค่ารักษาพยาบาล พนง.ส่วนท้องถิ่น</t>
  </si>
  <si>
    <t>เงินประกันสังคม (ผู้ประกันตน)</t>
  </si>
  <si>
    <t>รับคืน - เงินทุนสำรองเงินสะสม</t>
  </si>
  <si>
    <t>เงินทุนสำรองเงินสะสม</t>
  </si>
  <si>
    <t>รับคืน - เงินอุดหนุน</t>
  </si>
  <si>
    <t>เงินฝากธนาคารอิสลามแห่งประเทศไทย - ขอนแก่น 449-1-14637-3</t>
  </si>
  <si>
    <t>เงินฝากธนาคารอิสลามแห่งประเทศไทย - ขอนแก่น 449-2-02599-5</t>
  </si>
  <si>
    <t>สหกรณ์ออมทรัพย์กรมส่งเสริมการปกครองฯ</t>
  </si>
  <si>
    <t>รับเงินอุดหนุนทั่วไประบุวัตถุประสงค์ - ค่าปัจจัยพื้นฐานสำหรับ นร.ยากจน</t>
  </si>
  <si>
    <t>รับเงินอุดหนุนทั่วไประบุวัตถุประสงค์ - ค่าจัดการเรียนการสอน (ค่ารายหัว)</t>
  </si>
  <si>
    <t>รับเงินอุดหนุนทั่วไประบุวัตถุประสงค์ - ค่ากิจกรรมพัฒนาผู้เรียน</t>
  </si>
  <si>
    <t xml:space="preserve">รับเงินอุดหนุนทั่วไประบุวัตถุประสงค์ - ค่าอุปกรณ์การเรียน </t>
  </si>
  <si>
    <t>จ่ายเงินอุดหนุนทั่วไประบุวัตถุประสงค์ - เบี้ยยังชีพผู้สูงอายุ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</si>
  <si>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</si>
  <si>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เงินอุดหนุนทั่วไประบุวัตถุประสงค์-เบี้ยยังชีพผู้พิการ</t>
  </si>
  <si>
    <t>เงินอุดหนุนทั่วไประบุวัตถุประสงค์-เงินเดือน ขรก.ครูศนย์ฯ</t>
  </si>
  <si>
    <t>เงินอุดหนุนทั่วไประบุวัตถุประสงค์-ค่าตอบแทน ผดด.ศูนย์เด็กฯ</t>
  </si>
  <si>
    <t>เงินอุดหนุนทั่วไประบุวัตถุประสงค์-ประกันสังคม ผดด.ศูนย์เด็ก</t>
  </si>
  <si>
    <t>เงินอุดหนุนทั่วไประบุวัตถุประสงค์-ค่าปัจจัยพื้นฐานสำหรับ นร.ยากจน</t>
  </si>
  <si>
    <t>เงินอุดหนุนทั่วไประบุวัตถุประสงค์-ค่าจัดการเรียนฯ (ค่ารายหัว)</t>
  </si>
  <si>
    <t>เงินอุดหนุนทั่วไประบุวัตถุประสงค์-ค่าจัดการเรียนการสอน</t>
  </si>
  <si>
    <t xml:space="preserve">เงินอุดหนุนทั่วไประบุวัตถุประสงค์-ค่าอุปกรณ์การเรียน </t>
  </si>
  <si>
    <t>เงินอุดหนุนทั่วไประบุวัตถุประสงค์-ค่ากิจกรรมพัฒนาผู้เรียน</t>
  </si>
  <si>
    <t>เงินอุดหนุนทั่วไประบุวัตถุประสงค์ - ค่าเครื่องแบบนักเรียน</t>
  </si>
  <si>
    <t xml:space="preserve">เงินอุดหนุนทั่วไประบุวัตถุประสงค์ - ค่าหนังสือ </t>
  </si>
  <si>
    <t>เงินอุดหนุนทั่วไประบุวัตถุประสงค์ - ค่าสื่อการเรียนฯศูนย์ฯบ้านเป็ด</t>
  </si>
  <si>
    <t>เงินอุดหนุนทั่วไประบุวัตถุประสงค์ - ค่าสื่อการเรียนฯศูนย์ฯโคกฟันโปง</t>
  </si>
  <si>
    <t>เงินอุดหนุนทั่วไประบุวัตถุประสงค์ - โครงการป้องกันฯยาเสพติด</t>
  </si>
  <si>
    <t>เงินอุดหนุนทั่วไประบุวัตถุประสงค์ - สวัสดิการค่าเช่าบ้านบุคลากรศึกษา</t>
  </si>
  <si>
    <t>ระบบหลักประกันสุขภาพระดับท้องถิ่น</t>
  </si>
  <si>
    <t>จ่ายเงินยืมเงินนอกงบประมาณ - ระบบหลักประกันสุขภาพฯ</t>
  </si>
  <si>
    <t>เงินอุดหนุนระบุวัตถุประสงค์-เบี้ยยังชีพผู้สูงอายุ</t>
  </si>
  <si>
    <t>เงินฝากธนาคารเพื่อการเกษตรฯ - ตลาดกลางฯ 016062036883</t>
  </si>
  <si>
    <t>รับคืน - เงินยืมเงินนอกงบประมาณ - ระบบหลักประกันสุขภาพฯ</t>
  </si>
  <si>
    <t xml:space="preserve">รับเงินอุดหนุนทั่วไประบุวัตถุประสงค์ - ค่าหนังสือเรียน </t>
  </si>
  <si>
    <t xml:space="preserve">รับเงินอุดหนุนทั่วไประบุวัตถุประสงค์ - ค่าเครื่องแบบนักเรียน </t>
  </si>
  <si>
    <t xml:space="preserve">เงินอุดหนุนทั่วไประบุวัตถุประสงค์ - ค่าหนังสือเรียน </t>
  </si>
  <si>
    <t>รายจ่ายอื่น</t>
  </si>
  <si>
    <t>551000</t>
  </si>
  <si>
    <t>เงินอุดหนุนระบุวัตถุประสงค์-ค่าใช้จ่ายรายหัว ร.ร.เทศบาลฯ</t>
  </si>
  <si>
    <t>เงินอุดหนุนระบุวัตถุประสงค์-ค่ากิจกรรมพัฒนาผู้เรียน</t>
  </si>
  <si>
    <t xml:space="preserve">เงินอุดหนุนระบุวัตถุประสงค์ - ค่าหนังสือเรียน </t>
  </si>
  <si>
    <t>เงินอุดหนุนระบุวัตถุประสงค์-เบี้ยยังชีพผู้พิการ</t>
  </si>
  <si>
    <t xml:space="preserve">รับเงินอุดหนุนทั่วไประบุวัตถุประสงค์ - ค่าช่วยเหลือบุตร </t>
  </si>
  <si>
    <t>จ่ายเงินอุดหนุนทั่วไประบุวัตถุประสงค์ - ค่าปัจจัยพื้นฐานสำหรับ นร.ยากจน</t>
  </si>
  <si>
    <t>จ่ายเงินอุดหนุนทั่วไประบุวัตถุประสงค์ - ค่าจัดการเรียนการสอน (ค่ารายหัว)</t>
  </si>
  <si>
    <t>จ่ายเงินอุดหนุนทั่วไประบุวัตถุประสงค์ - ค่าจัดการเรียนการสอน</t>
  </si>
  <si>
    <t xml:space="preserve">จ่ายเงินอุดหนุนทั่วไประบุวัตถุประสงค์ - ค่าอุปกรณ์การเรียน </t>
  </si>
  <si>
    <t>จ่ายเงินอุดหนุนทั่วไประบุวัตถุประสงค์ - ค่ากิจกรรมพัฒนาผู้เรียน</t>
  </si>
  <si>
    <t xml:space="preserve">จ่ายเงินอุดหนุนทั่วไประบุวัตถุประสงค์ - ค่าเครื่องแบบนักเรียน </t>
  </si>
  <si>
    <t xml:space="preserve">จ่ายเงินอุดหนุนทั่วไประบุวัตถุประสงค์ - ค่าหนังสือเรียน </t>
  </si>
  <si>
    <t xml:space="preserve">จ่ายเงินอุดหนุนทั่วไประบุวัตถุประสงค์ - ค่าช่วยเหลือบุตร </t>
  </si>
  <si>
    <t xml:space="preserve">เงินอุดหนุนทั่วไประบุวัตถุประสงค์ - ค่าช่วยเหลือบุตร </t>
  </si>
  <si>
    <t>เงินอุดหนุนทั่วไประบุวัตถุประสงค์ - ค่าช่วยเหลือบุตร</t>
  </si>
  <si>
    <t>จ่ายเงินอุดหนุนทั่วไประบุวัตถุประสงค์ - ค่าเช่าบ้าน</t>
  </si>
  <si>
    <t>รับเงินอุดหนุนระบุวัตถุประสงค์ - ค่าจัดการเรียนการสอน (ค่ารายหัว)</t>
  </si>
  <si>
    <t xml:space="preserve">รับเงินอุดหนุนระบุวัตถุประสงค์ - ค่าหนังสือเรียน </t>
  </si>
  <si>
    <t xml:space="preserve">รับเงินอุดหนุนระบุวัตถุประสงค์ - ค่าอุปกรณ์การเรียน </t>
  </si>
  <si>
    <t xml:space="preserve">รับเงินอุดหนุนระบุวัตถุประสงค์ - ค่าเครื่องแบบนักเรียน </t>
  </si>
  <si>
    <t>เงินอุดหนุนระบุวัตถุประสงค์-ค่าจัดการเรียนฯ (ค่ารายหัว)</t>
  </si>
  <si>
    <t xml:space="preserve">เงินอุดหนุนระบุวัตถุประสงค์-ค่าอุปกรณ์การเรียน </t>
  </si>
  <si>
    <t>เงินอุดหนุนระบุวัตถุประสงค์ - ค่าเครื่องแบบนักเรียน</t>
  </si>
  <si>
    <t>431004</t>
  </si>
  <si>
    <t xml:space="preserve">จ่ายเงินอุดหนุนระบุวัตถุประสงค์ - ค่าอุปกรณ์การเรียน </t>
  </si>
  <si>
    <t xml:space="preserve">จ่ายเงินอุดหนุนระบุวัตถุประสงค์ - ค่าเครื่องแบบนักเรียน </t>
  </si>
  <si>
    <t>เงินอุดหนุนระบุวัตถุประสงค์-ค่าอุปกรณ์การเรียน</t>
  </si>
  <si>
    <t>เงินอุดหนุนระบุวัตถุประสงค์-ค่าเครื่องแบบนักเรียน</t>
  </si>
  <si>
    <t>จ่ายเงินอุดหนุนระบุวัตถุประสงค์ - ค่าจัดการเรียนการสอน (ค่ารายหัว)</t>
  </si>
  <si>
    <t>จ่ายเงินอุดหนุนทั่วไประบุวัตถุประสงค์ - ครุภัณฑ์คอมพิวเตอร์</t>
  </si>
  <si>
    <t>จ่ายเจ้าหนี้เงินกู้ - ก.ส.ท.</t>
  </si>
  <si>
    <t xml:space="preserve"> - 4 -</t>
  </si>
  <si>
    <t>เงินชดใช้ค่าความเสียหาย</t>
  </si>
  <si>
    <t xml:space="preserve">           หมวดค่าใช้สอย</t>
  </si>
  <si>
    <t xml:space="preserve">           หมวดค่าครุภัณฑ์</t>
  </si>
  <si>
    <t xml:space="preserve">           หมวดค่าที่ดินและสิ่งก่อสร้าง</t>
  </si>
  <si>
    <t xml:space="preserve">           ปีงบประมาณ  2559</t>
  </si>
  <si>
    <t>เงินเดือน (ฝ่ายประจำ) ข้าราชการ</t>
  </si>
  <si>
    <t>เงินเดือน (ฝ่ายประจำ) ค่าจ้างประจำ</t>
  </si>
  <si>
    <t>เงินเดือน (ฝ่ายประจำ) ค่าจ้างชั่วคราว</t>
  </si>
  <si>
    <t>113301</t>
  </si>
  <si>
    <t>113302</t>
  </si>
  <si>
    <t>113500</t>
  </si>
  <si>
    <t>113100</t>
  </si>
  <si>
    <t>113700</t>
  </si>
  <si>
    <t xml:space="preserve">        - อื่น ๆ (ระบบหลักประกันสุขภาพฯ)</t>
  </si>
  <si>
    <t>113600</t>
  </si>
  <si>
    <t>215000</t>
  </si>
  <si>
    <t>221202</t>
  </si>
  <si>
    <t>214000</t>
  </si>
  <si>
    <t>211000</t>
  </si>
  <si>
    <t>ฎีกาค้างจ่าย (รายจ่ายรอจ่าย)</t>
  </si>
  <si>
    <t>213000</t>
  </si>
  <si>
    <t>511000</t>
  </si>
  <si>
    <t>522000</t>
  </si>
  <si>
    <t>190002</t>
  </si>
  <si>
    <t>521000</t>
  </si>
  <si>
    <t>121000</t>
  </si>
  <si>
    <t xml:space="preserve">         -  อื่น ๆ (ระบบหลักประกันสุขภาพฯ)</t>
  </si>
  <si>
    <t>221101</t>
  </si>
  <si>
    <t>212000</t>
  </si>
  <si>
    <t>เงินฝากเงินทุน ก.ส.ท.</t>
  </si>
  <si>
    <t>112002</t>
  </si>
  <si>
    <t>ลูกหนี้อื่น ๆ (ระบบหลักประกันสุขภาพฯ)</t>
  </si>
  <si>
    <t>เงินเดือน (ฝ่ายประจำ) (ข้าราชการ)</t>
  </si>
  <si>
    <t>เทศบาลตำบลบ้านเป็ด  อำเภอเมืองขอนแก่น  จังหวัดขอนแก่น</t>
  </si>
  <si>
    <t>รับเงินอุดหนุนทั่วไปกำหนดวัตถุประสงค์ - เบี้ยยังชีพผู้สูงอายุ</t>
  </si>
  <si>
    <t>รับเงินอุดหนุนทั่วไปกำหนดวัตถุประสงค์ - เบี้ยยังชีพผู้พิการ</t>
  </si>
  <si>
    <t>รับเงินอุดหนุนทั่วไปกำหนดวัตถุประสงค์ - ค่าตอบแทน ผดด.ศูนย์พัฒนาเด็กฯ</t>
  </si>
  <si>
    <t>รับเงินอุดหนุนทั่วไปกำหนดวัตถุประสงค์ - เงินประกันสังคม ผดด.ศูนย์เด็กฯ</t>
  </si>
  <si>
    <t>รับเงินอุดหนุนทั่วไปกำหนดวัตถุประสงค์ - เงินเพิ่มค่าครองชีพฯ ผดด.ศูนย์พัฒนาฯ</t>
  </si>
  <si>
    <t>รับเงินอุดหนุนทั่วไปกำหนดวัตถุประสงค์ - ค่าจัดการเรียนการสอน</t>
  </si>
  <si>
    <t>รับเงินอุดหนุนทั่วไปกำหนดวัตถุประสงค์ - ค่าเช่าบ้าน</t>
  </si>
  <si>
    <t>จ่ายเงินอุดหนุนทั่วไปกำหนดวัตถุประสงค์ - เบี้ยยังชีพผู้สูงอายุ</t>
  </si>
  <si>
    <t>จ่ายเงินอุดหนุนทั่วไปกำหนดวัตถุประสงค์ - เบี้ยยังชีพผู้พิการ</t>
  </si>
  <si>
    <t>รับเงินอุดหนุนทั่วไปกำหนดวัตถุประสงค์ - เงินเดือน ขรก.ครูศูนย์พัฒนาเด็กฯ</t>
  </si>
  <si>
    <t>จ่ายเงินอุดหนุนทั่วไปกำหนดวัตถุประสงค์ - เงินเดือน ขรก.ครูศูนย์พัฒนาเด็กฯ</t>
  </si>
  <si>
    <t>จ่ายเงินอุดหนุนทั่วไปกำหนดวัตถุประสงค์ - ค่าตอบแทน ผดด.ศูนย์พัฒนาเด็กฯ</t>
  </si>
  <si>
    <t>จ่ายเงินอุดหนุนทั่วไปกำหนดวัตถุประสงค์ - เงินประกันสังคม ผดด.ศูนย์เด็กฯ</t>
  </si>
  <si>
    <t>จ่ายเงินอุดหนุนทั่วไปกำหนดวัตถุประสงค์ - เงินเพิ่มค่าครองชีพฯ ผดด.ศูนย์พัฒนาฯ</t>
  </si>
  <si>
    <t>เงินเดือน (ฝ่ายประจำ) (ค่าจ้างประจำ)</t>
  </si>
  <si>
    <t>เงินเดือน (ฝ่ายประจำ) (ค่าจ้างชั่วคราว)</t>
  </si>
  <si>
    <t>เงินอุดหนุนทั่วไปกำหนดวัตถุประสงค์-เบี้ยยังชีพผู้สูงอายุ</t>
  </si>
  <si>
    <t>เงินอุดหนุนทั่วไปกำหนดวัตถุประสงค์-เบี้ยยังชีพผู้พิการ</t>
  </si>
  <si>
    <t>เงินอุดหนุนทั่วไปกำหนดวัตถุประสงค์-เงินเดือน ขรก.ครูศนย์ฯ</t>
  </si>
  <si>
    <t>เงินอุดหนุนทั่วไปกำหนดวัตถุประสงค์-ค่าตอบแทน ผดด.ศูนย์เด็กฯ</t>
  </si>
  <si>
    <t>เงินอุดหนุนทั่วไปกำหนดวัตถุประสงค์-ประกันสังคม ผดด.ศูนย์เด็ก</t>
  </si>
  <si>
    <t>เงินอุดหนุนทั่วไปกำหนดวัตถุประสงค์ - เบี้ยยังชีพผู้สูงอายุ</t>
  </si>
  <si>
    <t>เงินอุดหนุนกำหนดวัตถุประสงค์ - เบี้ยยังชีพผู้พิการ</t>
  </si>
  <si>
    <t>เงินอุดหนุนทั่วไปกำหนดวัตถุประสงค์-เงินเพิ่มค่าครองชีพฯผดด.ศูนย์เด็ก</t>
  </si>
  <si>
    <t>เงินอุดหนุนทั่วไปกำหนดวัตถุประสงค์-ค่าจัดการเรียนการสอน</t>
  </si>
  <si>
    <t>เงินอุดหนุนทั่วไปกำหนดวัตถุประสงค์ - ค่าเช่าบ้าน</t>
  </si>
  <si>
    <t>เงินอุดหนุนทั่วไปกำหนดวัตถุประสงค์-เงินเพิ่มค่าครองชีพฯผดด.ศูนย์</t>
  </si>
  <si>
    <t>เงินอุดหนุนทั่วไปกำหนดวัตถุประสงค์-เงินเดือน ขรก.ครูผู้ดูแลเด็ก</t>
  </si>
  <si>
    <t>เงินอุดหนุนทั่วไปกำหนดวัตถุประสงค์-ค่าตอบแทน พนง.จ้างผู้ดูแลเด็ก</t>
  </si>
  <si>
    <t>เงินอุดหนุนทั่วไปกำหนดวัตถุประสงค์-เงินเพิ่มค่าครองชีพฯ พนง.จ้าง</t>
  </si>
  <si>
    <t>เงินอุดหนุนทั่วไปกำหนดวัตถุประสงค์-เงินประกันสังคม</t>
  </si>
  <si>
    <t>เงินอุดหนุนทั่วไปกำหนดวัตถุประสงค์-ค่าเช่าบ้าน</t>
  </si>
  <si>
    <t>รับเงินอุดหนุนทั่วไประบุวัตถุประสงค์ - เงินประกันสังคม ผดด.ศูนย์เด็กฯ</t>
  </si>
  <si>
    <t>รับเงินอุดหนุนทั่วไประบุวัตถุประสงค์ - ค่าจัดการเรียนการสอน</t>
  </si>
  <si>
    <t>รับเงินอุดหนุนทั่วไประบุวัตถุประสงค์ - ค่าเช่าบ้าน</t>
  </si>
  <si>
    <t>รับเงินอุดหนุนทั่วไประบุวัตถุประสงค์ - ค่าตอบแทน ผดด.ศูนย์พัฒนาเด็กฯ</t>
  </si>
  <si>
    <t>จ่ายเงินอุดหนุนระบุวัตถุประสงค์ - เบี้ยยังชีพผู้สูงอายุ</t>
  </si>
  <si>
    <t>จ่ายเงินอุดหนุนระบุวัตถุประสงค์ - เบี้ยยังชีพผู้พิการ</t>
  </si>
  <si>
    <t xml:space="preserve">จ่ายเงินอุดหนุนระบุวัตถุประสงค์ - ค่าหนังสือเรียน </t>
  </si>
  <si>
    <t>จ่ายเงินอุดหนุนทั่วไประบุวัตถุประสงค์ - ค่าตอบแทน ผดด.ศูนย์พัฒนาเด็กฯ</t>
  </si>
  <si>
    <t>จ่ายเงินอุดหนุนทั่วไประบุวัตถุประสงค์ - ค่าช่วยเหลือบุตร</t>
  </si>
  <si>
    <t>จ่ายเงินอุดหนุนทั่วไประบุวัตถุประสงค์ - เงินประกันสังคม ผดด.ศูนย์เด็กฯ</t>
  </si>
  <si>
    <t>รับเงินอุดหนุนทั่วไปกำหนดวัตถุประสงค์ - ค่าเล่าเรียนบุตร</t>
  </si>
  <si>
    <t>เงินอุดหนุนทั่วไประบุวัตถุประสงค์-เงินประกันสังคม ผดด.ศูนย์เด็กฯ</t>
  </si>
  <si>
    <t>เงินอุดหนุนทั่วไประบุวัตถุประสงค์-ค่าตอบแทน ผดด.ศูนย์เด็ก</t>
  </si>
  <si>
    <t>เงินอุดหนุนทั่วไประบุวัตถุประสงค์-ประกันสังคม ผดด.ศูนย์เด็กฯ</t>
  </si>
  <si>
    <t xml:space="preserve">เงินอุดหนุนระบุวัตถุประสงค์ - ค่าหนังสือ </t>
  </si>
  <si>
    <t>111201</t>
  </si>
  <si>
    <t>111202</t>
  </si>
  <si>
    <t>111203</t>
  </si>
  <si>
    <t>190001</t>
  </si>
  <si>
    <t>รับเงินอุดหนุนทั่วไปกำหนดวัตถุประสงค์ - ค่าการศึกษาบุตร</t>
  </si>
  <si>
    <t>เงินอุดหนุนทั่วไปกำหนดวัตถุประสงค์ - ค่าการศึกษาบุตร</t>
  </si>
  <si>
    <t>เงินอุดหนุนทั่วไประบุวัตถุประสงค์ - ค่าเช่าบ้าน</t>
  </si>
  <si>
    <t>เงินอุดหนุนทั่วไปกำหนดวัตถุประสงค์-ค่าการศึกษาบุตร</t>
  </si>
  <si>
    <t>เพื่อปรับสภาพที่อยู่อาศัยแก่คนพิการ</t>
  </si>
  <si>
    <t>รับเงินอุดหนุนระบุวัตถุประสงค์ - ค่าตอบแทนเงินเพิ่มค่าครองชีพฯ ผดด.</t>
  </si>
  <si>
    <t>รับเงินอุดหนุนระบุวัตถุประสงค์ - ประกันสังคม</t>
  </si>
  <si>
    <t>จ่ายเงินอุดหนุนทั่วไปกำหนดวัตถุประสงค์ - ค่าเช่าบ้าน</t>
  </si>
  <si>
    <t>เงินอุดหนุนระบุวัตถุประสงค์ - ค่าตอบแทนเงินเพิ่มค่าครองชีพฯ ผดด.</t>
  </si>
  <si>
    <t>เงินอุดหนุนระบุวัตถุประสงค์ - เงินประกันสังคม</t>
  </si>
  <si>
    <t>เงินอุดหนุนทั่วไประบุวัตถุประสงค์-ค่าตอบแทนผู้ดูแลเด็ก</t>
  </si>
  <si>
    <t>เงินอุดหนุนทั่วไประบุวัตถุประสงค์-เงินประกันสังคม</t>
  </si>
  <si>
    <t>รับคืน - เงินเดือนฝ่ายประจำ (ค่าจ้างชั่วคราว)</t>
  </si>
  <si>
    <t>จ่ายเงินอุดหนุนระบุวัตถุประสงค์ - ค่าตอบแทน ผดด.ศูนย์พัฒนาเด็กฯ</t>
  </si>
  <si>
    <t>จ่ายเงินอุดหนุนระบุวัตถุประสงค์ - เงินประกันสังคม ผดด.ศูนย์เด็กฯ</t>
  </si>
  <si>
    <t>เงินอุดหนุนระบุวัตถุประสงค์-ค่าตอบแทน ผดด.ศูนย์เด็กฯ</t>
  </si>
  <si>
    <t>เงินอุดหนุนระบุวัตถุประสงค์-ประกันสังคม ผดด.ศูนย์เด็ก</t>
  </si>
  <si>
    <t>รับเงินอุดหนุนทั่วไประบุวัตถุประสงค์ - เบี้ยยังชีพผู้สูงอายุ</t>
  </si>
  <si>
    <t xml:space="preserve"> </t>
  </si>
  <si>
    <t>รายงาน รับ - จ่าย  เงินสด</t>
  </si>
  <si>
    <t>เงินอุดหนุนระบุ</t>
  </si>
  <si>
    <t>วัตถุประสงค์/</t>
  </si>
  <si>
    <t>เฉพาะกิจ (บาท)</t>
  </si>
  <si>
    <t>(บาท)</t>
  </si>
  <si>
    <t xml:space="preserve">                                                                                                                                   ปีงบประมาณ 2559</t>
  </si>
  <si>
    <t xml:space="preserve">                 เดือน    มิถุนายน  2559</t>
  </si>
  <si>
    <t xml:space="preserve"> -2-</t>
  </si>
  <si>
    <t xml:space="preserve"> -3-</t>
  </si>
  <si>
    <t xml:space="preserve"> -4-</t>
  </si>
  <si>
    <t xml:space="preserve">                </t>
  </si>
  <si>
    <t>จากรับจริง</t>
  </si>
  <si>
    <t>ประจำเดือน</t>
  </si>
  <si>
    <t>โครงการอบรมและตรวจคัดกรองระดับสารเคมีในเลือด</t>
  </si>
  <si>
    <t>รับคืน - เงินเดือนฝ่ายประจำ (ข้าราฃการการเมือง)</t>
  </si>
  <si>
    <t>เอายอดรายเดือนมาบวกเข้า</t>
  </si>
  <si>
    <t xml:space="preserve">      เดือน  กรกฏาคม  2559</t>
  </si>
  <si>
    <t xml:space="preserve">ณ   วันที่  31    กรกฎาคม  พ.ศ. 2559 </t>
  </si>
  <si>
    <t>1  ตุลาคม  2558 -  29  กรกฎาคม  2559</t>
  </si>
  <si>
    <t>เพียงวันที่  29  กรกฎาคม  2559</t>
  </si>
  <si>
    <t>รายงานรับจริง/เดือน</t>
  </si>
  <si>
    <t>จากหมายเหตุเดือน</t>
  </si>
  <si>
    <t>จากใบผ่าน 2</t>
  </si>
  <si>
    <t>หมายเหตุเดือน</t>
  </si>
  <si>
    <t>เอามาจากรายงานกระแสเงินสด</t>
  </si>
  <si>
    <t>รับคืน - เงินเดือนฝ่ายประจำ (-ข้าราชการประจำ)</t>
  </si>
  <si>
    <t>ยอดรวมมาจาก รับใบผ่าน1/รายรับจริง/หมายเหตุเดือน</t>
  </si>
  <si>
    <t>ใบผ่าน 1/.ใบผ่านทั่วไป</t>
  </si>
  <si>
    <t>ใบผ่านทั่วไปที่ส่งใช้เงินยืม</t>
  </si>
  <si>
    <t>1  กรกฎาคม 2559  -  29  กรกฎาคม  2559</t>
  </si>
  <si>
    <t>จากใบผ่าน 2/ทั่วไป</t>
  </si>
  <si>
    <t>เอามาจากงบกระแสเงินสด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</si>
</sst>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49">
    <font>
      <sz val="14"/>
      <name val="Cordia New"/>
      <family val="0"/>
    </font>
    <font>
      <sz val="16"/>
      <name val="Dilleni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sz val="15"/>
      <name val="TH SarabunPSK"/>
      <family val="2"/>
    </font>
    <font>
      <sz val="13.5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43" fontId="0" fillId="0" borderId="0" xfId="38" applyFont="1" applyAlignment="1">
      <alignment/>
    </xf>
    <xf numFmtId="204" fontId="1" fillId="0" borderId="0" xfId="38" applyNumberFormat="1" applyFont="1" applyAlignment="1">
      <alignment/>
    </xf>
    <xf numFmtId="43" fontId="1" fillId="0" borderId="0" xfId="38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12" xfId="38" applyFont="1" applyBorder="1" applyAlignment="1">
      <alignment/>
    </xf>
    <xf numFmtId="43" fontId="5" fillId="0" borderId="13" xfId="38" applyFont="1" applyBorder="1" applyAlignment="1">
      <alignment/>
    </xf>
    <xf numFmtId="43" fontId="5" fillId="0" borderId="10" xfId="38" applyFont="1" applyBorder="1" applyAlignment="1">
      <alignment/>
    </xf>
    <xf numFmtId="43" fontId="5" fillId="0" borderId="14" xfId="38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38" applyFont="1" applyAlignment="1">
      <alignment/>
    </xf>
    <xf numFmtId="0" fontId="4" fillId="0" borderId="12" xfId="0" applyFont="1" applyBorder="1" applyAlignment="1">
      <alignment horizontal="center"/>
    </xf>
    <xf numFmtId="43" fontId="5" fillId="0" borderId="15" xfId="38" applyFont="1" applyBorder="1" applyAlignment="1">
      <alignment/>
    </xf>
    <xf numFmtId="0" fontId="4" fillId="0" borderId="0" xfId="0" applyFont="1" applyAlignment="1">
      <alignment/>
    </xf>
    <xf numFmtId="43" fontId="4" fillId="0" borderId="16" xfId="38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/>
    </xf>
    <xf numFmtId="204" fontId="5" fillId="0" borderId="17" xfId="38" applyNumberFormat="1" applyFont="1" applyBorder="1" applyAlignment="1">
      <alignment/>
    </xf>
    <xf numFmtId="204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/>
    </xf>
    <xf numFmtId="204" fontId="5" fillId="0" borderId="10" xfId="38" applyNumberFormat="1" applyFont="1" applyBorder="1" applyAlignment="1">
      <alignment/>
    </xf>
    <xf numFmtId="204" fontId="5" fillId="0" borderId="10" xfId="38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204" fontId="5" fillId="0" borderId="17" xfId="38" applyNumberFormat="1" applyFont="1" applyBorder="1" applyAlignment="1">
      <alignment vertical="top"/>
    </xf>
    <xf numFmtId="204" fontId="5" fillId="0" borderId="17" xfId="0" applyNumberFormat="1" applyFont="1" applyBorder="1" applyAlignment="1">
      <alignment vertical="top"/>
    </xf>
    <xf numFmtId="204" fontId="5" fillId="0" borderId="10" xfId="38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204" fontId="5" fillId="0" borderId="10" xfId="38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43" fontId="5" fillId="0" borderId="18" xfId="38" applyFont="1" applyBorder="1" applyAlignment="1">
      <alignment vertical="center"/>
    </xf>
    <xf numFmtId="43" fontId="0" fillId="0" borderId="0" xfId="38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3" fontId="5" fillId="0" borderId="0" xfId="38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3" fontId="4" fillId="0" borderId="19" xfId="38" applyFont="1" applyBorder="1" applyAlignment="1">
      <alignment vertical="top"/>
    </xf>
    <xf numFmtId="0" fontId="4" fillId="0" borderId="0" xfId="0" applyFont="1" applyBorder="1" applyAlignment="1">
      <alignment vertical="top"/>
    </xf>
    <xf numFmtId="198" fontId="4" fillId="0" borderId="20" xfId="38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43" fontId="0" fillId="0" borderId="0" xfId="38" applyFont="1" applyAlignment="1">
      <alignment horizontal="left"/>
    </xf>
    <xf numFmtId="43" fontId="5" fillId="0" borderId="21" xfId="38" applyFont="1" applyBorder="1" applyAlignment="1">
      <alignment vertical="center"/>
    </xf>
    <xf numFmtId="0" fontId="5" fillId="0" borderId="18" xfId="0" applyFont="1" applyBorder="1" applyAlignment="1">
      <alignment vertical="top"/>
    </xf>
    <xf numFmtId="49" fontId="5" fillId="0" borderId="18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43" fontId="7" fillId="0" borderId="0" xfId="38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98" fontId="5" fillId="0" borderId="3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4" fillId="0" borderId="11" xfId="38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98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204" fontId="4" fillId="0" borderId="32" xfId="38" applyNumberFormat="1" applyFont="1" applyBorder="1" applyAlignment="1">
      <alignment vertical="top"/>
    </xf>
    <xf numFmtId="204" fontId="4" fillId="0" borderId="32" xfId="38" applyNumberFormat="1" applyFont="1" applyFill="1" applyBorder="1" applyAlignment="1">
      <alignment vertical="top"/>
    </xf>
    <xf numFmtId="204" fontId="4" fillId="0" borderId="11" xfId="0" applyNumberFormat="1" applyFont="1" applyBorder="1" applyAlignment="1">
      <alignment vertical="top"/>
    </xf>
    <xf numFmtId="204" fontId="4" fillId="0" borderId="11" xfId="38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204" fontId="4" fillId="0" borderId="12" xfId="38" applyNumberFormat="1" applyFont="1" applyBorder="1" applyAlignment="1">
      <alignment vertical="top"/>
    </xf>
    <xf numFmtId="204" fontId="4" fillId="0" borderId="10" xfId="38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8" fillId="0" borderId="10" xfId="0" applyFont="1" applyFill="1" applyBorder="1" applyAlignment="1">
      <alignment/>
    </xf>
    <xf numFmtId="204" fontId="4" fillId="0" borderId="11" xfId="0" applyNumberFormat="1" applyFont="1" applyBorder="1" applyAlignment="1">
      <alignment/>
    </xf>
    <xf numFmtId="204" fontId="4" fillId="0" borderId="11" xfId="38" applyNumberFormat="1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vertical="top"/>
    </xf>
    <xf numFmtId="0" fontId="10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3" fontId="5" fillId="0" borderId="0" xfId="0" applyNumberFormat="1" applyFont="1" applyAlignment="1">
      <alignment horizontal="center" vertical="center"/>
    </xf>
    <xf numFmtId="0" fontId="1" fillId="0" borderId="33" xfId="0" applyFont="1" applyFill="1" applyBorder="1" applyAlignment="1">
      <alignment/>
    </xf>
    <xf numFmtId="43" fontId="1" fillId="0" borderId="33" xfId="38" applyFont="1" applyBorder="1" applyAlignment="1">
      <alignment horizontal="center"/>
    </xf>
    <xf numFmtId="43" fontId="0" fillId="0" borderId="0" xfId="38" applyFont="1" applyBorder="1" applyAlignment="1">
      <alignment vertical="top"/>
    </xf>
    <xf numFmtId="43" fontId="5" fillId="0" borderId="18" xfId="38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34" xfId="0" applyFont="1" applyBorder="1" applyAlignment="1">
      <alignment horizontal="centerContinuous" vertical="top"/>
    </xf>
    <xf numFmtId="0" fontId="5" fillId="0" borderId="0" xfId="0" applyFont="1" applyFill="1" applyBorder="1" applyAlignment="1">
      <alignment vertical="top"/>
    </xf>
    <xf numFmtId="49" fontId="5" fillId="0" borderId="18" xfId="0" applyNumberFormat="1" applyFont="1" applyFill="1" applyBorder="1" applyAlignment="1">
      <alignment horizontal="center" vertical="center"/>
    </xf>
    <xf numFmtId="43" fontId="5" fillId="0" borderId="14" xfId="38" applyFont="1" applyBorder="1" applyAlignment="1">
      <alignment horizontal="right"/>
    </xf>
    <xf numFmtId="43" fontId="0" fillId="0" borderId="0" xfId="0" applyNumberFormat="1" applyAlignment="1">
      <alignment/>
    </xf>
    <xf numFmtId="43" fontId="4" fillId="0" borderId="0" xfId="38" applyFont="1" applyBorder="1" applyAlignment="1">
      <alignment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49" fontId="5" fillId="0" borderId="38" xfId="0" applyNumberFormat="1" applyFont="1" applyBorder="1" applyAlignment="1">
      <alignment horizontal="center" vertical="center"/>
    </xf>
    <xf numFmtId="43" fontId="4" fillId="0" borderId="38" xfId="38" applyFont="1" applyBorder="1" applyAlignment="1">
      <alignment vertical="center"/>
    </xf>
    <xf numFmtId="43" fontId="5" fillId="0" borderId="38" xfId="38" applyFont="1" applyBorder="1" applyAlignment="1">
      <alignment vertical="center"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39" xfId="0" applyFont="1" applyFill="1" applyBorder="1" applyAlignment="1">
      <alignment horizontal="left" vertical="center"/>
    </xf>
    <xf numFmtId="43" fontId="5" fillId="0" borderId="40" xfId="38" applyFont="1" applyBorder="1" applyAlignment="1">
      <alignment vertical="center"/>
    </xf>
    <xf numFmtId="0" fontId="4" fillId="0" borderId="17" xfId="0" applyFont="1" applyBorder="1" applyAlignment="1">
      <alignment horizontal="center" vertical="top"/>
    </xf>
    <xf numFmtId="43" fontId="4" fillId="0" borderId="0" xfId="38" applyFont="1" applyAlignment="1">
      <alignment horizontal="center"/>
    </xf>
    <xf numFmtId="43" fontId="4" fillId="0" borderId="19" xfId="38" applyFont="1" applyBorder="1" applyAlignment="1">
      <alignment/>
    </xf>
    <xf numFmtId="43" fontId="1" fillId="0" borderId="0" xfId="38" applyFont="1" applyAlignment="1">
      <alignment/>
    </xf>
    <xf numFmtId="43" fontId="5" fillId="0" borderId="0" xfId="38" applyFont="1" applyAlignment="1">
      <alignment horizontal="center"/>
    </xf>
    <xf numFmtId="0" fontId="8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10" xfId="0" applyFont="1" applyFill="1" applyBorder="1" applyAlignment="1">
      <alignment/>
    </xf>
    <xf numFmtId="43" fontId="4" fillId="0" borderId="0" xfId="38" applyFont="1" applyBorder="1" applyAlignment="1">
      <alignment vertical="top"/>
    </xf>
    <xf numFmtId="0" fontId="5" fillId="0" borderId="41" xfId="0" applyFont="1" applyFill="1" applyBorder="1" applyAlignment="1">
      <alignment horizontal="left" vertical="center"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3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43" fontId="7" fillId="0" borderId="43" xfId="38" applyFont="1" applyBorder="1" applyAlignment="1">
      <alignment/>
    </xf>
    <xf numFmtId="43" fontId="7" fillId="0" borderId="44" xfId="38" applyFont="1" applyBorder="1" applyAlignment="1">
      <alignment/>
    </xf>
    <xf numFmtId="0" fontId="7" fillId="0" borderId="48" xfId="0" applyFont="1" applyBorder="1" applyAlignment="1">
      <alignment/>
    </xf>
    <xf numFmtId="0" fontId="4" fillId="0" borderId="31" xfId="0" applyFont="1" applyBorder="1" applyAlignment="1">
      <alignment/>
    </xf>
    <xf numFmtId="0" fontId="14" fillId="0" borderId="49" xfId="0" applyFont="1" applyBorder="1" applyAlignment="1">
      <alignment horizontal="center"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52" xfId="0" applyFont="1" applyBorder="1" applyAlignment="1">
      <alignment/>
    </xf>
    <xf numFmtId="49" fontId="5" fillId="0" borderId="42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53" xfId="0" applyFont="1" applyBorder="1" applyAlignment="1">
      <alignment/>
    </xf>
    <xf numFmtId="0" fontId="8" fillId="0" borderId="54" xfId="0" applyFont="1" applyFill="1" applyBorder="1" applyAlignment="1">
      <alignment/>
    </xf>
    <xf numFmtId="49" fontId="5" fillId="0" borderId="53" xfId="0" applyNumberFormat="1" applyFont="1" applyBorder="1" applyAlignment="1">
      <alignment horizontal="center"/>
    </xf>
    <xf numFmtId="43" fontId="7" fillId="0" borderId="53" xfId="38" applyFont="1" applyBorder="1" applyAlignment="1">
      <alignment/>
    </xf>
    <xf numFmtId="0" fontId="7" fillId="0" borderId="17" xfId="0" applyFont="1" applyBorder="1" applyAlignment="1">
      <alignment/>
    </xf>
    <xf numFmtId="43" fontId="7" fillId="0" borderId="17" xfId="38" applyFont="1" applyBorder="1" applyAlignment="1">
      <alignment/>
    </xf>
    <xf numFmtId="43" fontId="5" fillId="0" borderId="18" xfId="38" applyNumberFormat="1" applyFont="1" applyBorder="1" applyAlignment="1">
      <alignment vertical="center"/>
    </xf>
    <xf numFmtId="205" fontId="0" fillId="0" borderId="0" xfId="38" applyNumberFormat="1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57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top"/>
    </xf>
    <xf numFmtId="0" fontId="4" fillId="0" borderId="60" xfId="0" applyFont="1" applyBorder="1" applyAlignment="1">
      <alignment horizontal="center" vertical="top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28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61" xfId="0" applyFont="1" applyBorder="1" applyAlignment="1">
      <alignment horizontal="center" vertical="top"/>
    </xf>
    <xf numFmtId="0" fontId="4" fillId="0" borderId="6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204" fontId="4" fillId="0" borderId="61" xfId="0" applyNumberFormat="1" applyFont="1" applyBorder="1" applyAlignment="1">
      <alignment horizontal="center"/>
    </xf>
    <xf numFmtId="204" fontId="4" fillId="0" borderId="19" xfId="0" applyNumberFormat="1" applyFont="1" applyBorder="1" applyAlignment="1">
      <alignment horizontal="center"/>
    </xf>
    <xf numFmtId="204" fontId="4" fillId="0" borderId="62" xfId="0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63" xfId="0" applyFont="1" applyBorder="1" applyAlignment="1">
      <alignment horizontal="center" vertical="top"/>
    </xf>
    <xf numFmtId="0" fontId="4" fillId="0" borderId="64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6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7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143</xdr:row>
      <xdr:rowOff>180975</xdr:rowOff>
    </xdr:from>
    <xdr:to>
      <xdr:col>2</xdr:col>
      <xdr:colOff>57150</xdr:colOff>
      <xdr:row>145</xdr:row>
      <xdr:rowOff>38100</xdr:rowOff>
    </xdr:to>
    <xdr:sp>
      <xdr:nvSpPr>
        <xdr:cNvPr id="1" name="วงเล็บปีกกาซ้าย 5"/>
        <xdr:cNvSpPr>
          <a:spLocks/>
        </xdr:cNvSpPr>
      </xdr:nvSpPr>
      <xdr:spPr>
        <a:xfrm>
          <a:off x="1409700" y="35023425"/>
          <a:ext cx="47625" cy="428625"/>
        </a:xfrm>
        <a:prstGeom prst="leftBrace">
          <a:avLst>
            <a:gd name="adj" fmla="val -49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143</xdr:row>
      <xdr:rowOff>161925</xdr:rowOff>
    </xdr:from>
    <xdr:to>
      <xdr:col>3</xdr:col>
      <xdr:colOff>304800</xdr:colOff>
      <xdr:row>145</xdr:row>
      <xdr:rowOff>76200</xdr:rowOff>
    </xdr:to>
    <xdr:sp>
      <xdr:nvSpPr>
        <xdr:cNvPr id="2" name="วงเล็บปีกกาขวา 6"/>
        <xdr:cNvSpPr>
          <a:spLocks/>
        </xdr:cNvSpPr>
      </xdr:nvSpPr>
      <xdr:spPr>
        <a:xfrm>
          <a:off x="2657475" y="35004375"/>
          <a:ext cx="47625" cy="4857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1228725</xdr:colOff>
      <xdr:row>144</xdr:row>
      <xdr:rowOff>200025</xdr:rowOff>
    </xdr:from>
    <xdr:to>
      <xdr:col>4</xdr:col>
      <xdr:colOff>1276350</xdr:colOff>
      <xdr:row>145</xdr:row>
      <xdr:rowOff>200025</xdr:rowOff>
    </xdr:to>
    <xdr:sp>
      <xdr:nvSpPr>
        <xdr:cNvPr id="3" name="วงเล็บปีกกาซ้าย 4"/>
        <xdr:cNvSpPr>
          <a:spLocks/>
        </xdr:cNvSpPr>
      </xdr:nvSpPr>
      <xdr:spPr>
        <a:xfrm>
          <a:off x="4000500" y="35328225"/>
          <a:ext cx="47625" cy="285750"/>
        </a:xfrm>
        <a:prstGeom prst="leftBrace">
          <a:avLst>
            <a:gd name="adj" fmla="val -48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1828800</xdr:colOff>
      <xdr:row>144</xdr:row>
      <xdr:rowOff>228600</xdr:rowOff>
    </xdr:from>
    <xdr:to>
      <xdr:col>4</xdr:col>
      <xdr:colOff>1876425</xdr:colOff>
      <xdr:row>145</xdr:row>
      <xdr:rowOff>209550</xdr:rowOff>
    </xdr:to>
    <xdr:sp>
      <xdr:nvSpPr>
        <xdr:cNvPr id="4" name="วงเล็บปีกกาขวา 5"/>
        <xdr:cNvSpPr>
          <a:spLocks/>
        </xdr:cNvSpPr>
      </xdr:nvSpPr>
      <xdr:spPr>
        <a:xfrm>
          <a:off x="4600575" y="35356800"/>
          <a:ext cx="47625" cy="2667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1114425</xdr:colOff>
      <xdr:row>153</xdr:row>
      <xdr:rowOff>47625</xdr:rowOff>
    </xdr:from>
    <xdr:to>
      <xdr:col>8</xdr:col>
      <xdr:colOff>1647825</xdr:colOff>
      <xdr:row>153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6057900" y="40690800"/>
          <a:ext cx="53340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view="pageBreakPreview" zoomScale="112" zoomScaleSheetLayoutView="112" zoomScalePageLayoutView="0" workbookViewId="0" topLeftCell="A100">
      <selection activeCell="I90" sqref="I90"/>
    </sheetView>
  </sheetViews>
  <sheetFormatPr defaultColWidth="9.140625" defaultRowHeight="22.5" customHeight="1"/>
  <cols>
    <col min="1" max="1" width="2.7109375" style="42" customWidth="1"/>
    <col min="2" max="2" width="52.8515625" style="42" bestFit="1" customWidth="1"/>
    <col min="3" max="3" width="18.00390625" style="42" customWidth="1"/>
    <col min="4" max="4" width="5.00390625" style="42" customWidth="1"/>
    <col min="5" max="5" width="18.421875" style="42" customWidth="1"/>
    <col min="6" max="6" width="9.140625" style="42" customWidth="1"/>
    <col min="7" max="7" width="16.421875" style="48" bestFit="1" customWidth="1"/>
    <col min="8" max="8" width="9.140625" style="42" customWidth="1"/>
    <col min="9" max="9" width="16.421875" style="48" bestFit="1" customWidth="1"/>
    <col min="10" max="16384" width="9.140625" style="42" customWidth="1"/>
  </cols>
  <sheetData>
    <row r="1" spans="2:5" ht="22.5" customHeight="1">
      <c r="B1" s="175" t="s">
        <v>261</v>
      </c>
      <c r="C1" s="175"/>
      <c r="D1" s="175"/>
      <c r="E1" s="175"/>
    </row>
    <row r="2" spans="2:5" ht="22.5" customHeight="1">
      <c r="B2" s="175" t="s">
        <v>45</v>
      </c>
      <c r="C2" s="175"/>
      <c r="D2" s="175"/>
      <c r="E2" s="175"/>
    </row>
    <row r="3" spans="2:5" ht="22.5" customHeight="1">
      <c r="B3" s="175" t="s">
        <v>351</v>
      </c>
      <c r="C3" s="175"/>
      <c r="D3" s="175"/>
      <c r="E3" s="175"/>
    </row>
    <row r="4" spans="1:5" ht="22.5" customHeight="1">
      <c r="A4" s="46" t="s">
        <v>46</v>
      </c>
      <c r="C4" s="47" t="s">
        <v>7</v>
      </c>
      <c r="E4" s="47" t="s">
        <v>47</v>
      </c>
    </row>
    <row r="5" spans="2:7" ht="22.5" customHeight="1">
      <c r="B5" s="42" t="s">
        <v>48</v>
      </c>
      <c r="C5" s="48">
        <v>14944409.74</v>
      </c>
      <c r="E5" s="48">
        <f>5797001.9+25972073.73+7232543.54+19836226.87+19741749.6+13940544.86+8246326.69+15543666.16+12925367.63+14944409.74</f>
        <v>144179910.72</v>
      </c>
      <c r="G5" s="48" t="s">
        <v>352</v>
      </c>
    </row>
    <row r="6" spans="2:7" ht="22.5" customHeight="1">
      <c r="B6" s="42" t="s">
        <v>49</v>
      </c>
      <c r="C6" s="48">
        <v>916699.09</v>
      </c>
      <c r="E6" s="48">
        <f>906315.99+1080071.87+2607489.29+1421416.58+3860231.15+1047923.27+1143377.75+995026.28+974353.83+916699.09</f>
        <v>14952905.1</v>
      </c>
      <c r="G6" s="123" t="s">
        <v>353</v>
      </c>
    </row>
    <row r="7" spans="2:7" ht="22.5" customHeight="1">
      <c r="B7" s="42" t="s">
        <v>117</v>
      </c>
      <c r="C7" s="48">
        <v>478772</v>
      </c>
      <c r="E7" s="48">
        <f>315896+128450+1211890+574450+509078+1859920+532210+672550+388502+12204+466568</f>
        <v>6671718</v>
      </c>
      <c r="G7" s="48" t="s">
        <v>359</v>
      </c>
    </row>
    <row r="8" spans="2:7" ht="22.5" customHeight="1">
      <c r="B8" s="42" t="s">
        <v>118</v>
      </c>
      <c r="C8" s="48">
        <v>4382300</v>
      </c>
      <c r="E8" s="48">
        <f>72000+4587300+2289600+85260+34800+4213780+63700+2216600+4382300</f>
        <v>17945340</v>
      </c>
      <c r="G8" s="48" t="s">
        <v>359</v>
      </c>
    </row>
    <row r="9" spans="2:5" ht="22.5" customHeight="1">
      <c r="B9" s="42" t="s">
        <v>119</v>
      </c>
      <c r="C9" s="48">
        <v>2000</v>
      </c>
      <c r="E9" s="48">
        <f>18500+9000+3000+5000+97000+1000+2000</f>
        <v>135500</v>
      </c>
    </row>
    <row r="10" spans="2:5" ht="22.5" customHeight="1">
      <c r="B10" s="42" t="s">
        <v>190</v>
      </c>
      <c r="C10" s="48"/>
      <c r="E10" s="48">
        <f>32200+6800+6000</f>
        <v>45000</v>
      </c>
    </row>
    <row r="11" spans="2:5" ht="22.5" customHeight="1">
      <c r="B11" s="42" t="s">
        <v>89</v>
      </c>
      <c r="C11" s="48"/>
      <c r="E11" s="48">
        <f>7000+10000+4556+5000</f>
        <v>26556</v>
      </c>
    </row>
    <row r="12" spans="2:5" ht="22.5" customHeight="1" hidden="1">
      <c r="B12" s="42" t="s">
        <v>143</v>
      </c>
      <c r="C12" s="48"/>
      <c r="E12" s="48"/>
    </row>
    <row r="13" spans="2:5" ht="22.5" customHeight="1">
      <c r="B13" s="42" t="s">
        <v>262</v>
      </c>
      <c r="C13" s="48">
        <v>46000</v>
      </c>
      <c r="E13" s="48">
        <f>6205100+40100+4103600+33100+4001100+1354600+7138900+46000</f>
        <v>22922500</v>
      </c>
    </row>
    <row r="14" spans="2:5" ht="22.5" customHeight="1">
      <c r="B14" s="42" t="s">
        <v>263</v>
      </c>
      <c r="C14" s="48">
        <f>11200+124800</f>
        <v>136000</v>
      </c>
      <c r="E14" s="48">
        <f>984800+4000+979200+6400+5600+326400+164000+1221600+136000</f>
        <v>3828000</v>
      </c>
    </row>
    <row r="15" spans="2:5" ht="19.5" customHeight="1">
      <c r="B15" s="53" t="s">
        <v>271</v>
      </c>
      <c r="C15" s="48">
        <v>182570</v>
      </c>
      <c r="E15" s="48">
        <f>112140+74760+263400+182570</f>
        <v>632870</v>
      </c>
    </row>
    <row r="16" spans="2:5" ht="19.5" customHeight="1">
      <c r="B16" s="139" t="s">
        <v>264</v>
      </c>
      <c r="C16" s="48">
        <v>36000</v>
      </c>
      <c r="E16" s="48">
        <f>195500+94000+103400+36000</f>
        <v>428900</v>
      </c>
    </row>
    <row r="17" spans="2:5" ht="19.5" customHeight="1">
      <c r="B17" s="139" t="s">
        <v>266</v>
      </c>
      <c r="C17" s="48">
        <v>6000</v>
      </c>
      <c r="E17" s="48">
        <f>30000+20000+22000+6000</f>
        <v>78000</v>
      </c>
    </row>
    <row r="18" spans="2:5" ht="19.5" customHeight="1">
      <c r="B18" s="53" t="s">
        <v>265</v>
      </c>
      <c r="C18" s="48">
        <v>3150</v>
      </c>
      <c r="E18" s="48">
        <f>11275+5700+6270+3150</f>
        <v>26395</v>
      </c>
    </row>
    <row r="19" spans="2:5" ht="19.5" customHeight="1">
      <c r="B19" s="53" t="s">
        <v>294</v>
      </c>
      <c r="C19" s="48"/>
      <c r="E19" s="48">
        <f>11512+2725</f>
        <v>14237</v>
      </c>
    </row>
    <row r="20" spans="2:5" ht="19.5" customHeight="1">
      <c r="B20" s="139" t="s">
        <v>297</v>
      </c>
      <c r="C20" s="48"/>
      <c r="E20" s="48">
        <f>230238.72+54500</f>
        <v>284738.72</v>
      </c>
    </row>
    <row r="21" spans="2:5" ht="19.5" customHeight="1">
      <c r="B21" s="42" t="s">
        <v>330</v>
      </c>
      <c r="C21" s="48"/>
      <c r="E21" s="48">
        <f>8400</f>
        <v>8400</v>
      </c>
    </row>
    <row r="22" spans="2:5" ht="19.5" customHeight="1">
      <c r="B22" s="53" t="s">
        <v>165</v>
      </c>
      <c r="C22" s="48"/>
      <c r="E22" s="48">
        <v>3000</v>
      </c>
    </row>
    <row r="23" spans="2:5" ht="19.5" customHeight="1">
      <c r="B23" s="53" t="s">
        <v>166</v>
      </c>
      <c r="C23" s="48"/>
      <c r="E23" s="48">
        <v>66310</v>
      </c>
    </row>
    <row r="24" spans="2:5" ht="19.5" customHeight="1">
      <c r="B24" s="53" t="s">
        <v>212</v>
      </c>
      <c r="C24" s="48"/>
      <c r="E24" s="48">
        <v>5938</v>
      </c>
    </row>
    <row r="25" spans="2:5" ht="19.5" customHeight="1">
      <c r="B25" s="53" t="s">
        <v>267</v>
      </c>
      <c r="C25" s="48">
        <v>135000</v>
      </c>
      <c r="E25" s="48">
        <f>94500+135000</f>
        <v>229500</v>
      </c>
    </row>
    <row r="26" spans="2:5" ht="19.5" customHeight="1">
      <c r="B26" s="53" t="s">
        <v>295</v>
      </c>
      <c r="C26" s="48"/>
      <c r="E26" s="48">
        <v>49061</v>
      </c>
    </row>
    <row r="27" spans="2:5" ht="19.5" customHeight="1">
      <c r="B27" s="53" t="s">
        <v>168</v>
      </c>
      <c r="C27" s="48"/>
      <c r="E27" s="48">
        <v>14085</v>
      </c>
    </row>
    <row r="28" spans="2:5" ht="19.5" customHeight="1">
      <c r="B28" s="53" t="s">
        <v>214</v>
      </c>
      <c r="C28" s="48"/>
      <c r="E28" s="48">
        <v>3422</v>
      </c>
    </row>
    <row r="29" spans="2:5" ht="19.5" customHeight="1">
      <c r="B29" s="53" t="s">
        <v>167</v>
      </c>
      <c r="C29" s="48"/>
      <c r="E29" s="48">
        <v>51361</v>
      </c>
    </row>
    <row r="30" spans="2:5" ht="19.5" customHeight="1">
      <c r="B30" s="53" t="s">
        <v>192</v>
      </c>
      <c r="C30" s="48"/>
      <c r="E30" s="48">
        <v>18000</v>
      </c>
    </row>
    <row r="31" spans="2:5" ht="19.5" customHeight="1">
      <c r="B31" s="53" t="s">
        <v>215</v>
      </c>
      <c r="C31" s="48"/>
      <c r="E31" s="48">
        <v>1427</v>
      </c>
    </row>
    <row r="32" spans="2:5" ht="19.5" customHeight="1">
      <c r="B32" s="53" t="s">
        <v>191</v>
      </c>
      <c r="C32" s="48"/>
      <c r="E32" s="48">
        <v>37505</v>
      </c>
    </row>
    <row r="33" spans="2:5" ht="19.5" customHeight="1">
      <c r="B33" s="53" t="s">
        <v>213</v>
      </c>
      <c r="C33" s="48"/>
      <c r="E33" s="48">
        <v>36132</v>
      </c>
    </row>
    <row r="34" spans="2:5" ht="19.5" customHeight="1">
      <c r="B34" s="53" t="s">
        <v>200</v>
      </c>
      <c r="C34" s="48"/>
      <c r="E34" s="48">
        <v>7070</v>
      </c>
    </row>
    <row r="35" spans="2:5" ht="19.5" customHeight="1">
      <c r="B35" s="53" t="s">
        <v>313</v>
      </c>
      <c r="C35" s="48"/>
      <c r="E35" s="48">
        <v>8580</v>
      </c>
    </row>
    <row r="36" spans="2:5" ht="19.5" customHeight="1">
      <c r="B36" s="53" t="s">
        <v>268</v>
      </c>
      <c r="C36" s="48">
        <v>4000</v>
      </c>
      <c r="E36" s="48">
        <f>12000+12000+12000+4000</f>
        <v>40000</v>
      </c>
    </row>
    <row r="37" spans="2:5" ht="19.5" customHeight="1">
      <c r="B37" s="53" t="s">
        <v>296</v>
      </c>
      <c r="C37" s="48"/>
      <c r="E37" s="48">
        <v>10500</v>
      </c>
    </row>
    <row r="38" spans="2:5" ht="19.5" customHeight="1" hidden="1">
      <c r="B38" s="53" t="s">
        <v>304</v>
      </c>
      <c r="C38" s="48"/>
      <c r="E38" s="48"/>
    </row>
    <row r="39" spans="2:5" ht="19.5" customHeight="1">
      <c r="B39" s="53" t="s">
        <v>318</v>
      </c>
      <c r="C39" s="48"/>
      <c r="E39" s="48">
        <v>34200</v>
      </c>
    </row>
    <row r="40" spans="2:5" ht="19.5" customHeight="1">
      <c r="B40" s="53" t="s">
        <v>319</v>
      </c>
      <c r="C40" s="48"/>
      <c r="E40" s="48">
        <v>1710</v>
      </c>
    </row>
    <row r="41" spans="2:5" ht="22.5" customHeight="1" hidden="1">
      <c r="B41" s="42" t="s">
        <v>146</v>
      </c>
      <c r="C41" s="48"/>
      <c r="E41" s="48"/>
    </row>
    <row r="42" spans="2:5" ht="22.5" customHeight="1">
      <c r="B42" s="42" t="s">
        <v>78</v>
      </c>
      <c r="C42" s="48">
        <v>121600</v>
      </c>
      <c r="E42" s="48">
        <f>13888+75000+67020+220+121600</f>
        <v>277728</v>
      </c>
    </row>
    <row r="43" spans="2:5" ht="22.5" customHeight="1" hidden="1">
      <c r="B43" s="42" t="s">
        <v>159</v>
      </c>
      <c r="C43" s="48"/>
      <c r="E43" s="48"/>
    </row>
    <row r="44" spans="2:5" ht="22.5" customHeight="1" hidden="1">
      <c r="B44" s="42" t="s">
        <v>96</v>
      </c>
      <c r="C44" s="48"/>
      <c r="E44" s="48"/>
    </row>
    <row r="45" spans="2:5" ht="22.5" customHeight="1" hidden="1">
      <c r="B45" s="42" t="s">
        <v>21</v>
      </c>
      <c r="C45" s="48"/>
      <c r="E45" s="48"/>
    </row>
    <row r="46" spans="2:5" ht="22.5" customHeight="1" hidden="1">
      <c r="B46" s="42" t="s">
        <v>31</v>
      </c>
      <c r="C46" s="48"/>
      <c r="E46" s="48"/>
    </row>
    <row r="47" spans="1:5" ht="22.5" customHeight="1">
      <c r="A47" s="46" t="s">
        <v>46</v>
      </c>
      <c r="C47" s="47"/>
      <c r="E47" s="47" t="s">
        <v>47</v>
      </c>
    </row>
    <row r="48" spans="2:5" ht="22.5" customHeight="1">
      <c r="B48" s="42" t="s">
        <v>129</v>
      </c>
      <c r="C48" s="48">
        <v>500</v>
      </c>
      <c r="E48" s="48">
        <f>500+500+1000+500+500+500+1000+500</f>
        <v>5000</v>
      </c>
    </row>
    <row r="49" spans="2:5" ht="22.5" customHeight="1">
      <c r="B49" s="42" t="s">
        <v>325</v>
      </c>
      <c r="C49" s="48"/>
      <c r="E49" s="48">
        <f>1450+2320</f>
        <v>3770</v>
      </c>
    </row>
    <row r="50" spans="2:5" ht="22.5" customHeight="1">
      <c r="B50" s="42" t="s">
        <v>346</v>
      </c>
      <c r="C50" s="48"/>
      <c r="E50" s="48">
        <v>42952.27</v>
      </c>
    </row>
    <row r="51" spans="2:5" ht="22.5" customHeight="1" hidden="1">
      <c r="B51" s="42" t="s">
        <v>128</v>
      </c>
      <c r="C51" s="48"/>
      <c r="E51" s="48"/>
    </row>
    <row r="52" spans="2:5" ht="22.5" customHeight="1" hidden="1">
      <c r="B52" s="42" t="s">
        <v>122</v>
      </c>
      <c r="C52" s="48"/>
      <c r="E52" s="48"/>
    </row>
    <row r="53" spans="2:5" ht="22.5" customHeight="1">
      <c r="B53" s="42" t="s">
        <v>123</v>
      </c>
      <c r="C53" s="48"/>
      <c r="E53" s="48">
        <f>84500+2433.18</f>
        <v>86933.18</v>
      </c>
    </row>
    <row r="54" spans="2:5" ht="22.5" customHeight="1">
      <c r="B54" s="42" t="s">
        <v>125</v>
      </c>
      <c r="C54" s="48"/>
      <c r="E54" s="48">
        <f>3781+143647.55+135</f>
        <v>147563.55</v>
      </c>
    </row>
    <row r="55" spans="2:5" ht="22.5" customHeight="1" hidden="1">
      <c r="B55" s="42" t="s">
        <v>161</v>
      </c>
      <c r="C55" s="48"/>
      <c r="E55" s="48"/>
    </row>
    <row r="56" spans="2:5" ht="22.5" customHeight="1" hidden="1">
      <c r="B56" s="42" t="s">
        <v>120</v>
      </c>
      <c r="C56" s="48"/>
      <c r="E56" s="48"/>
    </row>
    <row r="57" spans="2:5" ht="22.5" customHeight="1">
      <c r="B57" s="42" t="s">
        <v>357</v>
      </c>
      <c r="C57" s="48">
        <v>10525.17</v>
      </c>
      <c r="E57" s="48">
        <v>10525.17</v>
      </c>
    </row>
    <row r="58" spans="2:7" ht="22.5" customHeight="1" thickBot="1">
      <c r="B58" s="49" t="s">
        <v>32</v>
      </c>
      <c r="C58" s="50">
        <f>SUM(C5:C57)</f>
        <v>21405526</v>
      </c>
      <c r="D58" s="51"/>
      <c r="E58" s="50">
        <f>SUM(E5:E57)</f>
        <v>213373243.71</v>
      </c>
      <c r="G58" s="48" t="s">
        <v>358</v>
      </c>
    </row>
    <row r="59" spans="2:5" ht="22.5" customHeight="1" thickTop="1">
      <c r="B59" s="49"/>
      <c r="C59" s="142"/>
      <c r="D59" s="51"/>
      <c r="E59" s="142"/>
    </row>
    <row r="60" spans="1:5" ht="22.5" customHeight="1">
      <c r="A60" s="46" t="s">
        <v>13</v>
      </c>
      <c r="B60" s="51"/>
      <c r="C60" s="47" t="s">
        <v>7</v>
      </c>
      <c r="E60" s="47" t="s">
        <v>47</v>
      </c>
    </row>
    <row r="61" spans="2:8" ht="22.5" customHeight="1">
      <c r="B61" s="42" t="s">
        <v>90</v>
      </c>
      <c r="C61" s="48">
        <v>11044803.98</v>
      </c>
      <c r="E61" s="48">
        <f>5509031.84+8334462.72+13635086.05+12535870.02+22602947.4+20988970.89+11083588.35+13263071.03+13002175.88+11044803.98</f>
        <v>132000008.15999998</v>
      </c>
      <c r="G61" s="48" t="s">
        <v>354</v>
      </c>
      <c r="H61" s="42" t="s">
        <v>360</v>
      </c>
    </row>
    <row r="62" spans="2:5" ht="22.5" customHeight="1" hidden="1">
      <c r="B62" s="42" t="s">
        <v>134</v>
      </c>
      <c r="C62" s="48"/>
      <c r="E62" s="48"/>
    </row>
    <row r="63" spans="2:5" ht="22.5" customHeight="1" hidden="1">
      <c r="B63" s="42" t="s">
        <v>226</v>
      </c>
      <c r="C63" s="48"/>
      <c r="E63" s="48"/>
    </row>
    <row r="64" spans="2:5" ht="22.5" customHeight="1" hidden="1">
      <c r="B64" s="42" t="s">
        <v>147</v>
      </c>
      <c r="C64" s="48"/>
      <c r="E64" s="48"/>
    </row>
    <row r="65" spans="2:7" ht="22.5" customHeight="1">
      <c r="B65" s="42" t="s">
        <v>91</v>
      </c>
      <c r="C65" s="48">
        <v>959192.28</v>
      </c>
      <c r="E65" s="48">
        <f>1020400.54+850666.27+1092729.53+1112291.14+2637327+2510247.5+1787354.41+1476007.17+1966795.39+959192.28</f>
        <v>15413011.23</v>
      </c>
      <c r="G65" s="48" t="s">
        <v>355</v>
      </c>
    </row>
    <row r="66" spans="2:7" ht="22.5" customHeight="1">
      <c r="B66" s="119" t="s">
        <v>92</v>
      </c>
      <c r="C66" s="48">
        <v>553192.05</v>
      </c>
      <c r="E66" s="48">
        <f>480008.39+1932000+1477000+499000+553192.05</f>
        <v>4941200.44</v>
      </c>
      <c r="G66" s="48" t="s">
        <v>354</v>
      </c>
    </row>
    <row r="67" spans="2:7" ht="22.5" customHeight="1">
      <c r="B67" s="42" t="s">
        <v>93</v>
      </c>
      <c r="C67" s="48">
        <v>253700</v>
      </c>
      <c r="E67" s="48">
        <f>108146+784100+1043610+481708+1760830+399850+688330+747922+434022+253700</f>
        <v>6702218</v>
      </c>
      <c r="G67" s="48" t="s">
        <v>354</v>
      </c>
    </row>
    <row r="68" spans="2:7" ht="22.5" customHeight="1">
      <c r="B68" s="42" t="s">
        <v>94</v>
      </c>
      <c r="C68" s="48">
        <v>2213500</v>
      </c>
      <c r="E68" s="48">
        <f>2336900+2322400+2374860+1997880+2250700+2229500+2219600+2213500</f>
        <v>17945340</v>
      </c>
      <c r="G68" s="48" t="s">
        <v>354</v>
      </c>
    </row>
    <row r="69" spans="2:7" ht="22.5" customHeight="1">
      <c r="B69" s="42" t="s">
        <v>187</v>
      </c>
      <c r="C69" s="48">
        <v>0</v>
      </c>
      <c r="E69" s="48">
        <f>32200+6800+6000</f>
        <v>45000</v>
      </c>
      <c r="G69" s="48" t="s">
        <v>354</v>
      </c>
    </row>
    <row r="70" spans="2:5" ht="22.5" customHeight="1" hidden="1">
      <c r="B70" s="42" t="s">
        <v>136</v>
      </c>
      <c r="C70" s="48"/>
      <c r="E70" s="48"/>
    </row>
    <row r="71" spans="2:5" ht="22.5" customHeight="1" hidden="1">
      <c r="B71" s="42" t="s">
        <v>137</v>
      </c>
      <c r="C71" s="48"/>
      <c r="E71" s="48"/>
    </row>
    <row r="72" spans="2:5" ht="22.5" customHeight="1" hidden="1">
      <c r="B72" s="42" t="s">
        <v>126</v>
      </c>
      <c r="C72" s="48"/>
      <c r="E72" s="48"/>
    </row>
    <row r="73" spans="2:7" ht="22.5" customHeight="1">
      <c r="B73" s="42" t="s">
        <v>112</v>
      </c>
      <c r="C73" s="48">
        <v>0</v>
      </c>
      <c r="E73" s="48">
        <v>628338.81</v>
      </c>
      <c r="G73" s="48" t="s">
        <v>354</v>
      </c>
    </row>
    <row r="74" spans="2:7" ht="22.5" customHeight="1">
      <c r="B74" s="42" t="s">
        <v>96</v>
      </c>
      <c r="C74" s="48">
        <v>0</v>
      </c>
      <c r="E74" s="48">
        <v>223200</v>
      </c>
      <c r="G74" s="48" t="s">
        <v>354</v>
      </c>
    </row>
    <row r="75" spans="2:7" ht="22.5" customHeight="1">
      <c r="B75" s="42" t="s">
        <v>21</v>
      </c>
      <c r="C75" s="48">
        <v>0</v>
      </c>
      <c r="E75" s="48">
        <f>1935000+219500+1663750.8+3780413.32</f>
        <v>7598664.119999999</v>
      </c>
      <c r="G75" s="48" t="s">
        <v>354</v>
      </c>
    </row>
    <row r="76" spans="2:7" ht="22.5" customHeight="1">
      <c r="B76" s="42" t="s">
        <v>31</v>
      </c>
      <c r="C76" s="48">
        <v>0</v>
      </c>
      <c r="E76" s="48">
        <v>2917110.56</v>
      </c>
      <c r="G76" s="48" t="s">
        <v>354</v>
      </c>
    </row>
    <row r="77" spans="2:5" ht="22.5" customHeight="1" hidden="1">
      <c r="B77" s="42" t="s">
        <v>95</v>
      </c>
      <c r="C77" s="48"/>
      <c r="E77" s="48"/>
    </row>
    <row r="78" spans="2:7" ht="22.5" customHeight="1">
      <c r="B78" s="42" t="s">
        <v>298</v>
      </c>
      <c r="C78" s="48">
        <v>0</v>
      </c>
      <c r="E78" s="48">
        <v>125363</v>
      </c>
      <c r="G78" s="48" t="s">
        <v>354</v>
      </c>
    </row>
    <row r="79" spans="2:7" ht="22.5" customHeight="1">
      <c r="B79" s="42" t="s">
        <v>299</v>
      </c>
      <c r="C79" s="48">
        <v>0</v>
      </c>
      <c r="E79" s="48">
        <v>43000</v>
      </c>
      <c r="G79" s="48" t="s">
        <v>354</v>
      </c>
    </row>
    <row r="80" spans="2:7" ht="22.5" customHeight="1">
      <c r="B80" s="42" t="s">
        <v>169</v>
      </c>
      <c r="C80" s="48">
        <v>0</v>
      </c>
      <c r="E80" s="48">
        <v>1553000</v>
      </c>
      <c r="G80" s="48" t="s">
        <v>354</v>
      </c>
    </row>
    <row r="81" spans="2:7" ht="22.5" customHeight="1">
      <c r="B81" s="42" t="s">
        <v>269</v>
      </c>
      <c r="C81" s="48">
        <v>3780100</v>
      </c>
      <c r="E81" s="48">
        <f>3937800+1994800+3926400+5500+3815300+2100+1886200+3780100</f>
        <v>19348200</v>
      </c>
      <c r="G81" s="48" t="s">
        <v>362</v>
      </c>
    </row>
    <row r="82" spans="2:7" ht="22.5" customHeight="1">
      <c r="B82" s="42" t="s">
        <v>270</v>
      </c>
      <c r="C82" s="48">
        <v>608800</v>
      </c>
      <c r="E82" s="48">
        <f>647200+324000+638400+319200+304800+3200+306400+608800</f>
        <v>3152000</v>
      </c>
      <c r="G82" s="48" t="s">
        <v>354</v>
      </c>
    </row>
    <row r="83" spans="2:7" ht="22.5" customHeight="1">
      <c r="B83" s="139" t="s">
        <v>272</v>
      </c>
      <c r="C83" s="48">
        <v>68710</v>
      </c>
      <c r="E83" s="48">
        <f>74760+37380+74760+108550+68710+68710+68710</f>
        <v>501580</v>
      </c>
      <c r="G83" s="48" t="s">
        <v>354</v>
      </c>
    </row>
    <row r="84" spans="2:7" ht="22.5" customHeight="1">
      <c r="B84" s="139" t="s">
        <v>273</v>
      </c>
      <c r="C84" s="48">
        <v>9400</v>
      </c>
      <c r="E84" s="48">
        <f>75200+37600+54500+75200+37600+9400+9400+9400+9400</f>
        <v>317700</v>
      </c>
      <c r="G84" s="48" t="s">
        <v>354</v>
      </c>
    </row>
    <row r="85" spans="2:7" ht="22.5" customHeight="1">
      <c r="B85" s="139" t="s">
        <v>275</v>
      </c>
      <c r="C85" s="48">
        <v>2000</v>
      </c>
      <c r="E85" s="48">
        <f>16000+8000+16000+8000+2000+2000+2000+2000</f>
        <v>56000</v>
      </c>
      <c r="G85" s="48" t="s">
        <v>354</v>
      </c>
    </row>
    <row r="86" spans="2:7" ht="21.75" customHeight="1">
      <c r="B86" s="140" t="s">
        <v>274</v>
      </c>
      <c r="C86" s="48">
        <v>570</v>
      </c>
      <c r="E86" s="48">
        <f>4560+2280+2725+2280+2280+2280+570+570+570</f>
        <v>18115</v>
      </c>
      <c r="G86" s="48" t="s">
        <v>354</v>
      </c>
    </row>
    <row r="87" spans="2:7" ht="21.75" customHeight="1">
      <c r="B87" s="140" t="s">
        <v>303</v>
      </c>
      <c r="C87" s="48"/>
      <c r="E87" s="48">
        <v>23024</v>
      </c>
      <c r="G87" s="48" t="s">
        <v>354</v>
      </c>
    </row>
    <row r="88" spans="2:7" ht="21.75" customHeight="1">
      <c r="B88" s="139" t="s">
        <v>301</v>
      </c>
      <c r="C88" s="48"/>
      <c r="E88" s="48">
        <v>460477.44</v>
      </c>
      <c r="G88" s="48" t="s">
        <v>354</v>
      </c>
    </row>
    <row r="89" spans="2:7" ht="21.75" customHeight="1">
      <c r="B89" s="53" t="s">
        <v>326</v>
      </c>
      <c r="C89" s="48"/>
      <c r="E89" s="48">
        <v>34200</v>
      </c>
      <c r="G89" s="48" t="s">
        <v>354</v>
      </c>
    </row>
    <row r="90" spans="2:7" ht="21.75" customHeight="1">
      <c r="B90" s="53" t="s">
        <v>327</v>
      </c>
      <c r="C90" s="48"/>
      <c r="E90" s="48">
        <v>1710</v>
      </c>
      <c r="G90" s="48" t="s">
        <v>354</v>
      </c>
    </row>
    <row r="91" spans="2:5" ht="21.75" customHeight="1">
      <c r="B91" s="53" t="s">
        <v>201</v>
      </c>
      <c r="C91" s="48"/>
      <c r="E91" s="48">
        <v>6000</v>
      </c>
    </row>
    <row r="92" spans="2:5" ht="21.75" customHeight="1">
      <c r="B92" s="53" t="s">
        <v>202</v>
      </c>
      <c r="C92" s="48"/>
      <c r="E92" s="48">
        <v>132620</v>
      </c>
    </row>
    <row r="93" spans="2:5" ht="21.75" customHeight="1">
      <c r="B93" s="53" t="s">
        <v>224</v>
      </c>
      <c r="C93" s="48"/>
      <c r="E93" s="48">
        <v>11876</v>
      </c>
    </row>
    <row r="94" spans="1:5" ht="22.5" customHeight="1">
      <c r="A94" s="46" t="s">
        <v>13</v>
      </c>
      <c r="B94" s="51"/>
      <c r="C94" s="47" t="s">
        <v>7</v>
      </c>
      <c r="E94" s="47" t="s">
        <v>47</v>
      </c>
    </row>
    <row r="95" spans="2:5" ht="21.75" customHeight="1">
      <c r="B95" s="53" t="s">
        <v>203</v>
      </c>
      <c r="C95" s="48"/>
      <c r="E95" s="48">
        <v>98122</v>
      </c>
    </row>
    <row r="96" spans="2:5" ht="21.75" customHeight="1">
      <c r="B96" s="53" t="s">
        <v>220</v>
      </c>
      <c r="C96" s="48"/>
      <c r="E96" s="48">
        <v>6844</v>
      </c>
    </row>
    <row r="97" spans="2:5" ht="21.75" customHeight="1">
      <c r="B97" s="53" t="s">
        <v>204</v>
      </c>
      <c r="C97" s="48"/>
      <c r="E97" s="48">
        <v>28170</v>
      </c>
    </row>
    <row r="98" spans="2:5" ht="21.75" customHeight="1">
      <c r="B98" s="53" t="s">
        <v>205</v>
      </c>
      <c r="C98" s="48"/>
      <c r="E98" s="48">
        <v>102722</v>
      </c>
    </row>
    <row r="99" spans="2:5" ht="21.75" customHeight="1">
      <c r="B99" s="53" t="s">
        <v>221</v>
      </c>
      <c r="C99" s="48"/>
      <c r="E99" s="48">
        <v>2854</v>
      </c>
    </row>
    <row r="100" spans="2:5" ht="21.75" customHeight="1">
      <c r="B100" s="53" t="s">
        <v>206</v>
      </c>
      <c r="C100" s="48"/>
      <c r="E100" s="48">
        <v>36000</v>
      </c>
    </row>
    <row r="101" spans="2:5" ht="22.5" customHeight="1">
      <c r="B101" s="53" t="s">
        <v>207</v>
      </c>
      <c r="C101" s="48"/>
      <c r="E101" s="48">
        <v>75010</v>
      </c>
    </row>
    <row r="102" spans="2:5" ht="22.5" customHeight="1">
      <c r="B102" s="53" t="s">
        <v>300</v>
      </c>
      <c r="C102" s="48"/>
      <c r="E102" s="48">
        <v>72264</v>
      </c>
    </row>
    <row r="103" spans="2:5" ht="22.5" customHeight="1" hidden="1">
      <c r="B103" s="53" t="s">
        <v>208</v>
      </c>
      <c r="C103" s="48"/>
      <c r="E103" s="48"/>
    </row>
    <row r="104" spans="2:5" ht="22.5" customHeight="1" hidden="1">
      <c r="B104" s="53" t="s">
        <v>144</v>
      </c>
      <c r="C104" s="48"/>
      <c r="E104" s="48"/>
    </row>
    <row r="105" spans="2:5" ht="22.5" customHeight="1" hidden="1">
      <c r="B105" s="53" t="s">
        <v>145</v>
      </c>
      <c r="C105" s="48"/>
      <c r="E105" s="48"/>
    </row>
    <row r="106" spans="2:5" ht="22.5" customHeight="1" hidden="1">
      <c r="B106" s="53" t="s">
        <v>150</v>
      </c>
      <c r="C106" s="48"/>
      <c r="E106" s="48"/>
    </row>
    <row r="107" spans="1:5" ht="22.5" customHeight="1" hidden="1">
      <c r="A107" s="46" t="s">
        <v>13</v>
      </c>
      <c r="B107" s="51"/>
      <c r="C107" s="47" t="s">
        <v>7</v>
      </c>
      <c r="E107" s="47" t="s">
        <v>47</v>
      </c>
    </row>
    <row r="108" spans="2:5" ht="22.5" customHeight="1" hidden="1">
      <c r="B108" s="53" t="s">
        <v>225</v>
      </c>
      <c r="C108" s="48"/>
      <c r="E108" s="48"/>
    </row>
    <row r="109" spans="2:5" ht="22.5" customHeight="1" hidden="1">
      <c r="B109" s="53" t="s">
        <v>151</v>
      </c>
      <c r="C109" s="48"/>
      <c r="E109" s="48"/>
    </row>
    <row r="110" spans="2:5" ht="22.5" customHeight="1" hidden="1">
      <c r="B110" s="53" t="s">
        <v>152</v>
      </c>
      <c r="C110" s="48"/>
      <c r="E110" s="48"/>
    </row>
    <row r="111" spans="2:5" ht="22.5" customHeight="1" hidden="1">
      <c r="B111" s="53" t="s">
        <v>153</v>
      </c>
      <c r="C111" s="48"/>
      <c r="E111" s="48"/>
    </row>
    <row r="112" spans="2:5" ht="22.5" customHeight="1" hidden="1">
      <c r="B112" s="53" t="s">
        <v>154</v>
      </c>
      <c r="C112" s="48"/>
      <c r="E112" s="48"/>
    </row>
    <row r="113" spans="2:5" ht="22.5" customHeight="1">
      <c r="B113" s="53" t="s">
        <v>320</v>
      </c>
      <c r="C113" s="48"/>
      <c r="E113" s="48">
        <v>10500</v>
      </c>
    </row>
    <row r="114" spans="2:5" ht="22.5" customHeight="1">
      <c r="B114" s="53" t="s">
        <v>211</v>
      </c>
      <c r="C114" s="48"/>
      <c r="E114" s="48">
        <v>21000</v>
      </c>
    </row>
    <row r="115" spans="2:5" ht="24" customHeight="1">
      <c r="B115" s="53" t="s">
        <v>302</v>
      </c>
      <c r="C115" s="48"/>
      <c r="E115" s="48">
        <v>14140</v>
      </c>
    </row>
    <row r="116" spans="2:5" ht="22.5" customHeight="1">
      <c r="B116" s="42" t="s">
        <v>121</v>
      </c>
      <c r="C116" s="48"/>
      <c r="E116" s="48"/>
    </row>
    <row r="117" spans="3:5" ht="22.5" customHeight="1">
      <c r="C117" s="48"/>
      <c r="E117" s="48"/>
    </row>
    <row r="118" spans="2:5" ht="22.5" customHeight="1" thickBot="1">
      <c r="B118" s="49" t="s">
        <v>32</v>
      </c>
      <c r="C118" s="50">
        <f>SUM(C61:C117)</f>
        <v>19493968.310000002</v>
      </c>
      <c r="D118" s="51"/>
      <c r="E118" s="50">
        <f>SUM(E61:E117)</f>
        <v>214666582.76</v>
      </c>
    </row>
    <row r="119" spans="2:7" ht="22.5" customHeight="1" thickBot="1" thickTop="1">
      <c r="B119" s="51" t="s">
        <v>51</v>
      </c>
      <c r="C119" s="52">
        <f>C58-C118</f>
        <v>1911557.6899999976</v>
      </c>
      <c r="D119" s="51"/>
      <c r="E119" s="52">
        <f>E58-E118</f>
        <v>-1293339.0499999821</v>
      </c>
      <c r="G119" s="48">
        <f>+E118-Sheet1!A134</f>
        <v>0</v>
      </c>
    </row>
    <row r="120" ht="22.5" customHeight="1" thickTop="1"/>
  </sheetData>
  <sheetProtection/>
  <mergeCells count="3">
    <mergeCell ref="B1:E1"/>
    <mergeCell ref="B2:E2"/>
    <mergeCell ref="B3:E3"/>
  </mergeCells>
  <printOptions/>
  <pageMargins left="1.05" right="0.17" top="0.7" bottom="0.22" header="0.1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8"/>
  <sheetViews>
    <sheetView view="pageBreakPreview" zoomScale="112" zoomScaleSheetLayoutView="112" zoomScalePageLayoutView="0" workbookViewId="0" topLeftCell="A127">
      <selection activeCell="E135" sqref="E135"/>
    </sheetView>
  </sheetViews>
  <sheetFormatPr defaultColWidth="9.140625" defaultRowHeight="21.75"/>
  <cols>
    <col min="1" max="1" width="15.140625" style="1" customWidth="1"/>
    <col min="2" max="2" width="15.8515625" style="1" customWidth="1"/>
    <col min="3" max="3" width="13.57421875" style="0" customWidth="1"/>
    <col min="4" max="4" width="15.00390625" style="0" customWidth="1"/>
    <col min="6" max="6" width="54.00390625" style="0" customWidth="1"/>
    <col min="7" max="7" width="14.57421875" style="1" bestFit="1" customWidth="1"/>
    <col min="8" max="8" width="13.00390625" style="0" customWidth="1"/>
    <col min="9" max="9" width="12.140625" style="0" customWidth="1"/>
    <col min="11" max="11" width="13.57421875" style="0" bestFit="1" customWidth="1"/>
    <col min="12" max="12" width="23.421875" style="0" customWidth="1"/>
    <col min="13" max="13" width="13.57421875" style="0" bestFit="1" customWidth="1"/>
  </cols>
  <sheetData>
    <row r="1" spans="1:10" ht="23.25">
      <c r="A1" s="1">
        <v>58092791.4</v>
      </c>
      <c r="C1" s="1" t="str">
        <f>TEXT(A1,"#.#0")</f>
        <v>58092791.40</v>
      </c>
      <c r="D1" s="2">
        <f>INT(C1)</f>
        <v>58092791</v>
      </c>
      <c r="E1" s="3" t="str">
        <f aca="true" t="shared" si="0" ref="E1:E63">IF(A1-INT(A1)&lt;&gt;0,RIGHT(C1,2),)</f>
        <v>40</v>
      </c>
      <c r="G1" s="1">
        <v>54882094.66</v>
      </c>
      <c r="H1" s="1" t="str">
        <f aca="true" t="shared" si="1" ref="H1:H64">TEXT(G1,"#.#0")</f>
        <v>54882094.66</v>
      </c>
      <c r="I1" s="2">
        <f>INT(H1)</f>
        <v>54882094</v>
      </c>
      <c r="J1" s="3" t="str">
        <f>IF(G1-INT(G1)&lt;&gt;0,RIGHT(H1,2),)</f>
        <v>66</v>
      </c>
    </row>
    <row r="2" spans="1:10" ht="23.25">
      <c r="A2" s="1">
        <f>98213.5+115009+85167.85+1018565.8+4357034.75+3943138.3+422492.3+763208.78+607580.45+342561.75</f>
        <v>11752972.479999999</v>
      </c>
      <c r="C2" s="1" t="str">
        <f aca="true" t="shared" si="2" ref="C2:C136">TEXT(A2,"#.#0")</f>
        <v>11752972.48</v>
      </c>
      <c r="D2" s="2">
        <f aca="true" t="shared" si="3" ref="D2:D136">INT(C2)</f>
        <v>11752972</v>
      </c>
      <c r="E2" s="3" t="str">
        <f t="shared" si="0"/>
        <v>48</v>
      </c>
      <c r="F2" s="5" t="s">
        <v>101</v>
      </c>
      <c r="G2" s="1">
        <v>342561.75</v>
      </c>
      <c r="H2" s="1" t="str">
        <f t="shared" si="1"/>
        <v>342561.75</v>
      </c>
      <c r="I2" s="2">
        <f aca="true" t="shared" si="4" ref="I2:I136">INT(H2)</f>
        <v>342561</v>
      </c>
      <c r="J2" s="3" t="str">
        <f>IF(G2-INT(G2)&lt;&gt;0,RIGHT(H2,2),)</f>
        <v>75</v>
      </c>
    </row>
    <row r="3" spans="1:10" ht="23.25">
      <c r="A3" s="1">
        <f>62717.4+351822+352638+319918+403862+343787+326867+335870+343012+315228</f>
        <v>3155721.4</v>
      </c>
      <c r="C3" s="1" t="str">
        <f t="shared" si="2"/>
        <v>3155721.40</v>
      </c>
      <c r="D3" s="2">
        <f t="shared" si="3"/>
        <v>3155721</v>
      </c>
      <c r="E3" s="3" t="str">
        <f t="shared" si="0"/>
        <v>40</v>
      </c>
      <c r="F3" s="5" t="s">
        <v>102</v>
      </c>
      <c r="G3" s="1">
        <v>315228</v>
      </c>
      <c r="H3" s="1" t="str">
        <f t="shared" si="1"/>
        <v>315228.0</v>
      </c>
      <c r="I3" s="2">
        <f t="shared" si="4"/>
        <v>315228</v>
      </c>
      <c r="J3" s="3">
        <f aca="true" t="shared" si="5" ref="J3:J24">IF(G3-INT(G3)&lt;&gt;0,RIGHT(H3,2),)</f>
        <v>0</v>
      </c>
    </row>
    <row r="4" spans="1:10" ht="23.25">
      <c r="A4" s="1">
        <f>9750+57715.94+110178.97+205819.1+22340.07+26880+30489.94+29583.82+17653.84+169246.03</f>
        <v>679657.7100000001</v>
      </c>
      <c r="C4" s="1" t="str">
        <f t="shared" si="2"/>
        <v>679657.71</v>
      </c>
      <c r="D4" s="2">
        <f t="shared" si="3"/>
        <v>679657</v>
      </c>
      <c r="E4" s="3" t="str">
        <f t="shared" si="0"/>
        <v>71</v>
      </c>
      <c r="F4" s="5" t="s">
        <v>103</v>
      </c>
      <c r="G4" s="1">
        <v>169246.03</v>
      </c>
      <c r="H4" s="1" t="str">
        <f t="shared" si="1"/>
        <v>169246.03</v>
      </c>
      <c r="I4" s="2">
        <f t="shared" si="4"/>
        <v>169246</v>
      </c>
      <c r="J4" s="3" t="str">
        <f t="shared" si="5"/>
        <v>03</v>
      </c>
    </row>
    <row r="5" spans="1:10" ht="23.25">
      <c r="A5" s="1">
        <f>128509.6+120065+82360+171744+139641+173189+19225+21120+25293+16095</f>
        <v>897241.6</v>
      </c>
      <c r="C5" s="1" t="str">
        <f t="shared" si="2"/>
        <v>897241.60</v>
      </c>
      <c r="D5" s="2">
        <f t="shared" si="3"/>
        <v>897241</v>
      </c>
      <c r="E5" s="3" t="str">
        <f t="shared" si="0"/>
        <v>60</v>
      </c>
      <c r="F5" s="5" t="s">
        <v>104</v>
      </c>
      <c r="G5" s="1">
        <v>16095</v>
      </c>
      <c r="H5" s="1" t="str">
        <f t="shared" si="1"/>
        <v>16095.0</v>
      </c>
      <c r="I5" s="2">
        <f t="shared" si="4"/>
        <v>16095</v>
      </c>
      <c r="J5" s="3">
        <f t="shared" si="5"/>
        <v>0</v>
      </c>
    </row>
    <row r="6" spans="1:12" ht="23.25">
      <c r="A6" s="1">
        <f>5497811.4+12636384.79+6602198.72+5385702.97+14818871.78+9453550.56+5091249.45+14393883.56+11931828.34+12088440.96</f>
        <v>97899922.53</v>
      </c>
      <c r="C6" s="1" t="str">
        <f t="shared" si="2"/>
        <v>97899922.53</v>
      </c>
      <c r="D6" s="2">
        <f t="shared" si="3"/>
        <v>97899922</v>
      </c>
      <c r="E6" s="3" t="str">
        <f t="shared" si="0"/>
        <v>53</v>
      </c>
      <c r="F6" s="5" t="s">
        <v>105</v>
      </c>
      <c r="G6" s="1">
        <v>12088440.96</v>
      </c>
      <c r="H6" s="1" t="str">
        <f t="shared" si="1"/>
        <v>12088440.96</v>
      </c>
      <c r="I6" s="2">
        <f t="shared" si="4"/>
        <v>12088440</v>
      </c>
      <c r="J6" s="3" t="str">
        <f t="shared" si="5"/>
        <v>96</v>
      </c>
      <c r="L6" s="1"/>
    </row>
    <row r="7" spans="1:12" ht="23.25">
      <c r="A7" s="1">
        <f>12691077+12734477+2356003+2012838</f>
        <v>29794395</v>
      </c>
      <c r="B7" s="1" t="s">
        <v>331</v>
      </c>
      <c r="C7" s="1" t="str">
        <f t="shared" si="2"/>
        <v>29794395.0</v>
      </c>
      <c r="D7" s="2">
        <f t="shared" si="3"/>
        <v>29794395</v>
      </c>
      <c r="E7" s="3">
        <f t="shared" si="0"/>
        <v>0</v>
      </c>
      <c r="F7" s="5" t="s">
        <v>113</v>
      </c>
      <c r="G7" s="1">
        <v>2012838</v>
      </c>
      <c r="H7" s="1" t="str">
        <f t="shared" si="1"/>
        <v>2012838.0</v>
      </c>
      <c r="I7" s="2">
        <f t="shared" si="4"/>
        <v>2012838</v>
      </c>
      <c r="J7" s="3">
        <f t="shared" si="5"/>
        <v>0</v>
      </c>
      <c r="K7" s="122"/>
      <c r="L7" s="122">
        <f>SUM(G2:G7)</f>
        <v>14944409.74</v>
      </c>
    </row>
    <row r="8" spans="1:11" ht="23.25">
      <c r="A8" s="1">
        <f>7000+10000+4556+5000</f>
        <v>26556</v>
      </c>
      <c r="C8" s="1" t="str">
        <f t="shared" si="2"/>
        <v>26556.0</v>
      </c>
      <c r="D8" s="2">
        <f t="shared" si="3"/>
        <v>26556</v>
      </c>
      <c r="E8" s="3">
        <f t="shared" si="0"/>
        <v>0</v>
      </c>
      <c r="F8" s="5" t="s">
        <v>50</v>
      </c>
      <c r="G8" s="1">
        <v>0</v>
      </c>
      <c r="H8" s="1" t="str">
        <f t="shared" si="1"/>
        <v>.0</v>
      </c>
      <c r="I8" s="2">
        <f t="shared" si="4"/>
        <v>0</v>
      </c>
      <c r="J8" s="3">
        <f t="shared" si="5"/>
        <v>0</v>
      </c>
      <c r="K8" t="s">
        <v>356</v>
      </c>
    </row>
    <row r="9" spans="3:10" ht="23.25">
      <c r="C9" s="1" t="str">
        <f t="shared" si="2"/>
        <v>.0</v>
      </c>
      <c r="D9" s="2">
        <f t="shared" si="3"/>
        <v>0</v>
      </c>
      <c r="E9" s="3">
        <f t="shared" si="0"/>
        <v>0</v>
      </c>
      <c r="F9" s="5" t="s">
        <v>106</v>
      </c>
      <c r="H9" s="1" t="str">
        <f t="shared" si="1"/>
        <v>.0</v>
      </c>
      <c r="I9" s="2">
        <f t="shared" si="4"/>
        <v>0</v>
      </c>
      <c r="J9" s="3">
        <f t="shared" si="5"/>
        <v>0</v>
      </c>
    </row>
    <row r="10" spans="1:10" ht="23.25">
      <c r="A10" s="1">
        <f>18500+9000+3000+5000+97000+1000+2000</f>
        <v>135500</v>
      </c>
      <c r="C10" s="1" t="str">
        <f t="shared" si="2"/>
        <v>135500.0</v>
      </c>
      <c r="D10" s="2">
        <f t="shared" si="3"/>
        <v>135500</v>
      </c>
      <c r="E10" s="3">
        <f t="shared" si="0"/>
        <v>0</v>
      </c>
      <c r="F10" s="5" t="s">
        <v>107</v>
      </c>
      <c r="G10" s="1">
        <v>2000</v>
      </c>
      <c r="H10" s="1" t="str">
        <f t="shared" si="1"/>
        <v>2000.0</v>
      </c>
      <c r="I10" s="2">
        <f t="shared" si="4"/>
        <v>2000</v>
      </c>
      <c r="J10" s="3">
        <f t="shared" si="5"/>
        <v>0</v>
      </c>
    </row>
    <row r="11" spans="1:10" ht="23.25">
      <c r="A11" s="1">
        <f>315896+128450+1211890+574450+509078+1859920+532210+672550+388502+478772</f>
        <v>6671718</v>
      </c>
      <c r="C11" s="1" t="str">
        <f t="shared" si="2"/>
        <v>6671718.0</v>
      </c>
      <c r="D11" s="2">
        <f t="shared" si="3"/>
        <v>6671718</v>
      </c>
      <c r="E11" s="3">
        <f t="shared" si="0"/>
        <v>0</v>
      </c>
      <c r="F11" s="5" t="s">
        <v>108</v>
      </c>
      <c r="G11" s="114">
        <v>478772</v>
      </c>
      <c r="H11" s="1" t="str">
        <f t="shared" si="1"/>
        <v>478772.0</v>
      </c>
      <c r="I11" s="2">
        <f t="shared" si="4"/>
        <v>478772</v>
      </c>
      <c r="J11" s="3">
        <f t="shared" si="5"/>
        <v>0</v>
      </c>
    </row>
    <row r="12" spans="1:10" ht="23.25">
      <c r="A12" s="1">
        <f>72000+4587300+2289600+85260+34800+4213780+63700+2216600+4382300</f>
        <v>17945340</v>
      </c>
      <c r="C12" s="1" t="str">
        <f t="shared" si="2"/>
        <v>17945340.0</v>
      </c>
      <c r="D12" s="2">
        <f t="shared" si="3"/>
        <v>17945340</v>
      </c>
      <c r="E12" s="3">
        <f t="shared" si="0"/>
        <v>0</v>
      </c>
      <c r="F12" s="5" t="s">
        <v>109</v>
      </c>
      <c r="G12" s="1">
        <v>4382300</v>
      </c>
      <c r="H12" s="1" t="str">
        <f t="shared" si="1"/>
        <v>4382300.0</v>
      </c>
      <c r="I12" s="2">
        <f t="shared" si="4"/>
        <v>4382300</v>
      </c>
      <c r="J12" s="3">
        <f t="shared" si="5"/>
        <v>0</v>
      </c>
    </row>
    <row r="13" spans="1:10" ht="23.25">
      <c r="A13" s="1">
        <f>32200+6800+6000</f>
        <v>45000</v>
      </c>
      <c r="C13" s="1" t="str">
        <f>TEXT(A13,"#.#0")</f>
        <v>45000.0</v>
      </c>
      <c r="D13" s="2">
        <f t="shared" si="3"/>
        <v>45000</v>
      </c>
      <c r="E13" s="3">
        <f>IF(A13-INT(A13)&lt;&gt;0,RIGHT(C13,2),)</f>
        <v>0</v>
      </c>
      <c r="F13" s="5" t="s">
        <v>241</v>
      </c>
      <c r="H13" s="1" t="str">
        <f t="shared" si="1"/>
        <v>.0</v>
      </c>
      <c r="I13" s="2">
        <f t="shared" si="4"/>
        <v>0</v>
      </c>
      <c r="J13" s="3">
        <f>IF(G13-INT(G13)&lt;&gt;0,RIGHT(H13,2),)</f>
        <v>0</v>
      </c>
    </row>
    <row r="14" spans="3:10" ht="23.25">
      <c r="C14" s="1" t="str">
        <f t="shared" si="2"/>
        <v>.0</v>
      </c>
      <c r="D14" s="2">
        <f t="shared" si="3"/>
        <v>0</v>
      </c>
      <c r="E14" s="3">
        <f t="shared" si="0"/>
        <v>0</v>
      </c>
      <c r="F14" s="5" t="s">
        <v>85</v>
      </c>
      <c r="H14" s="1" t="str">
        <f>TEXT(G14,"#.#0")</f>
        <v>.0</v>
      </c>
      <c r="I14" s="2">
        <f t="shared" si="4"/>
        <v>0</v>
      </c>
      <c r="J14" s="3">
        <f>IF(G14-INT(G14)&lt;&gt;0,RIGHT(H14,2),)</f>
        <v>0</v>
      </c>
    </row>
    <row r="15" spans="1:10" ht="23.25">
      <c r="A15" s="1">
        <f>906315.99+1080071.87+2607489.29+1421416.58+3860231.15+1047923.27+1143377.75+995026.28+974353.83+916699.09</f>
        <v>14952905.1</v>
      </c>
      <c r="C15" s="1" t="str">
        <f t="shared" si="2"/>
        <v>14952905.10</v>
      </c>
      <c r="D15" s="2">
        <f t="shared" si="3"/>
        <v>14952905</v>
      </c>
      <c r="E15" s="3" t="str">
        <f t="shared" si="0"/>
        <v>10</v>
      </c>
      <c r="F15" s="5" t="s">
        <v>11</v>
      </c>
      <c r="G15" s="1">
        <v>916699.09</v>
      </c>
      <c r="H15" s="1" t="str">
        <f>TEXT(G15,"#.#0")</f>
        <v>916699.09</v>
      </c>
      <c r="I15" s="2">
        <f t="shared" si="4"/>
        <v>916699</v>
      </c>
      <c r="J15" s="3" t="str">
        <f>IF(G15-INT(G15)&lt;&gt;0,RIGHT(H15,2),)</f>
        <v>09</v>
      </c>
    </row>
    <row r="16" spans="1:10" ht="23.25">
      <c r="A16" s="1">
        <f>13888+75000+67020+220+121600</f>
        <v>277728</v>
      </c>
      <c r="C16" s="1" t="str">
        <f t="shared" si="2"/>
        <v>277728.0</v>
      </c>
      <c r="D16" s="2">
        <f t="shared" si="3"/>
        <v>277728</v>
      </c>
      <c r="E16" s="3">
        <f t="shared" si="0"/>
        <v>0</v>
      </c>
      <c r="F16" s="8" t="s">
        <v>12</v>
      </c>
      <c r="G16" s="1">
        <v>121600</v>
      </c>
      <c r="H16" s="1" t="str">
        <f t="shared" si="1"/>
        <v>121600.0</v>
      </c>
      <c r="I16" s="2">
        <f t="shared" si="4"/>
        <v>121600</v>
      </c>
      <c r="J16" s="3">
        <f t="shared" si="5"/>
        <v>0</v>
      </c>
    </row>
    <row r="17" spans="3:10" ht="23.25">
      <c r="C17" s="1" t="str">
        <f>TEXT(A17,"#.#0")</f>
        <v>.0</v>
      </c>
      <c r="D17" s="2">
        <f t="shared" si="3"/>
        <v>0</v>
      </c>
      <c r="E17" s="3">
        <f>IF(A17-INT(A17)&lt;&gt;0,RIGHT(C17,2),)</f>
        <v>0</v>
      </c>
      <c r="F17" s="8" t="s">
        <v>160</v>
      </c>
      <c r="H17" s="1" t="str">
        <f t="shared" si="1"/>
        <v>.0</v>
      </c>
      <c r="I17" s="2">
        <f t="shared" si="4"/>
        <v>0</v>
      </c>
      <c r="J17" s="3">
        <f>IF(G17-INT(G17)&lt;&gt;0,RIGHT(H17,2),)</f>
        <v>0</v>
      </c>
    </row>
    <row r="18" spans="3:10" ht="23.25">
      <c r="C18" s="1" t="str">
        <f>TEXT(A18,"#.#0")</f>
        <v>.0</v>
      </c>
      <c r="D18" s="2">
        <f t="shared" si="3"/>
        <v>0</v>
      </c>
      <c r="E18" s="3">
        <f>IF(A18-INT(A18)&lt;&gt;0,RIGHT(C18,2),)</f>
        <v>0</v>
      </c>
      <c r="F18" s="8" t="s">
        <v>188</v>
      </c>
      <c r="H18" s="1" t="str">
        <f t="shared" si="1"/>
        <v>.0</v>
      </c>
      <c r="I18" s="2">
        <f t="shared" si="4"/>
        <v>0</v>
      </c>
      <c r="J18" s="3">
        <f>IF(G18-INT(G18)&lt;&gt;0,RIGHT(H18,2),)</f>
        <v>0</v>
      </c>
    </row>
    <row r="19" spans="1:10" ht="23.25">
      <c r="A19" s="1">
        <v>8400</v>
      </c>
      <c r="C19" s="1" t="str">
        <f t="shared" si="2"/>
        <v>8400.0</v>
      </c>
      <c r="D19" s="2">
        <f t="shared" si="3"/>
        <v>8400</v>
      </c>
      <c r="E19" s="3">
        <f t="shared" si="0"/>
        <v>0</v>
      </c>
      <c r="F19" s="8" t="s">
        <v>170</v>
      </c>
      <c r="H19" s="1" t="str">
        <f t="shared" si="1"/>
        <v>.0</v>
      </c>
      <c r="I19" s="2">
        <f t="shared" si="4"/>
        <v>0</v>
      </c>
      <c r="J19" s="3">
        <f t="shared" si="5"/>
        <v>0</v>
      </c>
    </row>
    <row r="20" spans="3:10" ht="23.25">
      <c r="C20" s="1" t="str">
        <f>TEXT(A20,"#.#0")</f>
        <v>.0</v>
      </c>
      <c r="D20" s="2">
        <f t="shared" si="3"/>
        <v>0</v>
      </c>
      <c r="E20" s="3">
        <f>IF(A20-INT(A20)&lt;&gt;0,RIGHT(C20,2),)</f>
        <v>0</v>
      </c>
      <c r="F20" s="8" t="s">
        <v>199</v>
      </c>
      <c r="H20" s="1" t="str">
        <f t="shared" si="1"/>
        <v>.0</v>
      </c>
      <c r="I20" s="2">
        <f t="shared" si="4"/>
        <v>0</v>
      </c>
      <c r="J20" s="3">
        <f>IF(G20-INT(G20)&lt;&gt;0,RIGHT(H20,2),)</f>
        <v>0</v>
      </c>
    </row>
    <row r="21" spans="3:10" ht="23.25">
      <c r="C21" s="1" t="str">
        <f t="shared" si="2"/>
        <v>.0</v>
      </c>
      <c r="D21" s="2">
        <f t="shared" si="3"/>
        <v>0</v>
      </c>
      <c r="E21" s="3">
        <f t="shared" si="0"/>
        <v>0</v>
      </c>
      <c r="F21" s="8" t="s">
        <v>171</v>
      </c>
      <c r="H21" s="1" t="str">
        <f t="shared" si="1"/>
        <v>.0</v>
      </c>
      <c r="I21" s="2">
        <f t="shared" si="4"/>
        <v>0</v>
      </c>
      <c r="J21" s="3">
        <f t="shared" si="5"/>
        <v>0</v>
      </c>
    </row>
    <row r="22" spans="1:10" ht="23.25">
      <c r="A22" s="1">
        <f>6205100+40100+4103600+33100+4001100+1354600+7138900+46000</f>
        <v>22922500</v>
      </c>
      <c r="C22" s="1" t="str">
        <f>TEXT(A22,"#.#0")</f>
        <v>22922500.0</v>
      </c>
      <c r="D22" s="2">
        <f t="shared" si="3"/>
        <v>22922500</v>
      </c>
      <c r="E22" s="3">
        <f>IF(A22-INT(A22)&lt;&gt;0,RIGHT(C22,2),)</f>
        <v>0</v>
      </c>
      <c r="F22" s="8" t="s">
        <v>278</v>
      </c>
      <c r="G22" s="1">
        <v>46000</v>
      </c>
      <c r="H22" s="1" t="str">
        <f t="shared" si="1"/>
        <v>46000.0</v>
      </c>
      <c r="I22" s="2">
        <f t="shared" si="4"/>
        <v>46000</v>
      </c>
      <c r="J22" s="3">
        <f>IF(G22-INT(G22)&lt;&gt;0,RIGHT(H22,2),)</f>
        <v>0</v>
      </c>
    </row>
    <row r="23" spans="1:10" ht="23.25">
      <c r="A23" s="1">
        <f>984800+4000+979200+6400+5600+326400+164000+1221600+136000</f>
        <v>3828000</v>
      </c>
      <c r="C23" s="1" t="str">
        <f>TEXT(A23,"#.#0")</f>
        <v>3828000.0</v>
      </c>
      <c r="D23" s="2">
        <f t="shared" si="3"/>
        <v>3828000</v>
      </c>
      <c r="E23" s="3">
        <f>IF(A23-INT(A23)&lt;&gt;0,RIGHT(C23,2),)</f>
        <v>0</v>
      </c>
      <c r="F23" s="8" t="s">
        <v>279</v>
      </c>
      <c r="G23" s="1">
        <f>11200+124800</f>
        <v>136000</v>
      </c>
      <c r="H23" s="1" t="str">
        <f t="shared" si="1"/>
        <v>136000.0</v>
      </c>
      <c r="I23" s="2">
        <f t="shared" si="4"/>
        <v>136000</v>
      </c>
      <c r="J23" s="3">
        <f>IF(G23-INT(G23)&lt;&gt;0,RIGHT(H23,2),)</f>
        <v>0</v>
      </c>
    </row>
    <row r="24" spans="1:10" ht="23.25">
      <c r="A24" s="1">
        <f>112140+74760+263400+182570</f>
        <v>632870</v>
      </c>
      <c r="C24" s="1" t="str">
        <f t="shared" si="2"/>
        <v>632870.0</v>
      </c>
      <c r="D24" s="2">
        <f t="shared" si="3"/>
        <v>632870</v>
      </c>
      <c r="E24" s="3">
        <f t="shared" si="0"/>
        <v>0</v>
      </c>
      <c r="F24" s="8" t="s">
        <v>280</v>
      </c>
      <c r="G24" s="1">
        <v>182570</v>
      </c>
      <c r="H24" s="1" t="str">
        <f t="shared" si="1"/>
        <v>182570.0</v>
      </c>
      <c r="I24" s="2">
        <f t="shared" si="4"/>
        <v>182570</v>
      </c>
      <c r="J24" s="3">
        <f t="shared" si="5"/>
        <v>0</v>
      </c>
    </row>
    <row r="25" spans="1:10" ht="23.25">
      <c r="A25" s="1">
        <f>195500+94000+103400+36000</f>
        <v>428900</v>
      </c>
      <c r="C25" s="1" t="str">
        <f t="shared" si="2"/>
        <v>428900.0</v>
      </c>
      <c r="D25" s="2">
        <f t="shared" si="3"/>
        <v>428900</v>
      </c>
      <c r="E25" s="3">
        <f t="shared" si="0"/>
        <v>0</v>
      </c>
      <c r="F25" s="8" t="s">
        <v>281</v>
      </c>
      <c r="G25" s="1">
        <v>36000</v>
      </c>
      <c r="H25" s="1" t="str">
        <f t="shared" si="1"/>
        <v>36000.0</v>
      </c>
      <c r="I25" s="2">
        <f t="shared" si="4"/>
        <v>36000</v>
      </c>
      <c r="J25" s="3">
        <f aca="true" t="shared" si="6" ref="J25:J37">IF(G25-INT(G25)&lt;&gt;0,RIGHT(H25,2),)</f>
        <v>0</v>
      </c>
    </row>
    <row r="26" spans="1:10" ht="23.25">
      <c r="A26" s="1">
        <f>11275+5700+6270+3150</f>
        <v>26395</v>
      </c>
      <c r="C26" s="1" t="str">
        <f t="shared" si="2"/>
        <v>26395.0</v>
      </c>
      <c r="D26" s="2">
        <f t="shared" si="3"/>
        <v>26395</v>
      </c>
      <c r="E26" s="3">
        <f t="shared" si="0"/>
        <v>0</v>
      </c>
      <c r="F26" s="8" t="s">
        <v>282</v>
      </c>
      <c r="G26" s="1">
        <v>3150</v>
      </c>
      <c r="H26" s="1" t="str">
        <f t="shared" si="1"/>
        <v>3150.0</v>
      </c>
      <c r="I26" s="2">
        <f t="shared" si="4"/>
        <v>3150</v>
      </c>
      <c r="J26" s="3">
        <f t="shared" si="6"/>
        <v>0</v>
      </c>
    </row>
    <row r="27" spans="1:10" ht="23.25">
      <c r="A27" s="1">
        <f>30000+20000+22000+G27</f>
        <v>78000</v>
      </c>
      <c r="C27" s="1" t="str">
        <f t="shared" si="2"/>
        <v>78000.0</v>
      </c>
      <c r="D27" s="2">
        <f t="shared" si="3"/>
        <v>78000</v>
      </c>
      <c r="E27" s="3">
        <f t="shared" si="0"/>
        <v>0</v>
      </c>
      <c r="F27" s="8" t="s">
        <v>285</v>
      </c>
      <c r="G27" s="1">
        <v>6000</v>
      </c>
      <c r="H27" s="1" t="str">
        <f t="shared" si="1"/>
        <v>6000.0</v>
      </c>
      <c r="I27" s="2">
        <f t="shared" si="4"/>
        <v>6000</v>
      </c>
      <c r="J27" s="3">
        <f t="shared" si="6"/>
        <v>0</v>
      </c>
    </row>
    <row r="28" spans="1:10" ht="23.25">
      <c r="A28" s="1">
        <f>11512+2725</f>
        <v>14237</v>
      </c>
      <c r="C28" s="1" t="str">
        <f>TEXT(A28,"#.#0")</f>
        <v>14237.0</v>
      </c>
      <c r="D28" s="2">
        <f t="shared" si="3"/>
        <v>14237</v>
      </c>
      <c r="E28" s="3">
        <f>IF(A28-INT(A28)&lt;&gt;0,RIGHT(C28,2),)</f>
        <v>0</v>
      </c>
      <c r="F28" s="8" t="s">
        <v>305</v>
      </c>
      <c r="H28" s="1" t="str">
        <f t="shared" si="1"/>
        <v>.0</v>
      </c>
      <c r="I28" s="2">
        <f t="shared" si="4"/>
        <v>0</v>
      </c>
      <c r="J28" s="3">
        <f t="shared" si="6"/>
        <v>0</v>
      </c>
    </row>
    <row r="29" spans="1:10" ht="23.25">
      <c r="A29" s="1">
        <f>230238.72+54500</f>
        <v>284738.72</v>
      </c>
      <c r="C29" s="1" t="str">
        <f>TEXT(A29,"#.#0")</f>
        <v>284738.72</v>
      </c>
      <c r="D29" s="2">
        <f t="shared" si="3"/>
        <v>284738</v>
      </c>
      <c r="E29" s="3" t="str">
        <f>IF(A29-INT(A29)&lt;&gt;0,RIGHT(C29,2),)</f>
        <v>72</v>
      </c>
      <c r="F29" s="8" t="s">
        <v>173</v>
      </c>
      <c r="H29" s="1" t="str">
        <f t="shared" si="1"/>
        <v>.0</v>
      </c>
      <c r="I29" s="2">
        <f t="shared" si="4"/>
        <v>0</v>
      </c>
      <c r="J29" s="3">
        <f>IF(G29-INT(G29)&lt;&gt;0,RIGHT(H29,2),)</f>
        <v>0</v>
      </c>
    </row>
    <row r="30" spans="1:10" ht="23.25">
      <c r="A30" s="1">
        <f>3000</f>
        <v>3000</v>
      </c>
      <c r="C30" s="1" t="str">
        <f aca="true" t="shared" si="7" ref="C30:C46">TEXT(A30,"#.#0")</f>
        <v>3000.0</v>
      </c>
      <c r="D30" s="2">
        <f aca="true" t="shared" si="8" ref="D30:D50">INT(C30)</f>
        <v>3000</v>
      </c>
      <c r="E30" s="3">
        <f t="shared" si="0"/>
        <v>0</v>
      </c>
      <c r="F30" s="8" t="s">
        <v>175</v>
      </c>
      <c r="H30" s="1" t="str">
        <f aca="true" t="shared" si="9" ref="H30:H50">TEXT(G30,"#.#0")</f>
        <v>.0</v>
      </c>
      <c r="I30" s="2">
        <f aca="true" t="shared" si="10" ref="I30:I50">INT(H30)</f>
        <v>0</v>
      </c>
      <c r="J30" s="3">
        <f t="shared" si="6"/>
        <v>0</v>
      </c>
    </row>
    <row r="31" spans="1:10" ht="23.25">
      <c r="A31" s="1">
        <v>66310</v>
      </c>
      <c r="C31" s="1" t="str">
        <f t="shared" si="7"/>
        <v>66310.0</v>
      </c>
      <c r="D31" s="2">
        <f t="shared" si="8"/>
        <v>66310</v>
      </c>
      <c r="E31" s="3">
        <f t="shared" si="0"/>
        <v>0</v>
      </c>
      <c r="F31" s="8" t="s">
        <v>176</v>
      </c>
      <c r="H31" s="1" t="str">
        <f t="shared" si="9"/>
        <v>.0</v>
      </c>
      <c r="I31" s="2">
        <f t="shared" si="10"/>
        <v>0</v>
      </c>
      <c r="J31" s="3">
        <f t="shared" si="6"/>
        <v>0</v>
      </c>
    </row>
    <row r="32" spans="1:10" ht="23.25">
      <c r="A32" s="1">
        <v>5938</v>
      </c>
      <c r="C32" s="1" t="str">
        <f>TEXT(A32,"#.#0")</f>
        <v>5938.0</v>
      </c>
      <c r="D32" s="2">
        <f t="shared" si="8"/>
        <v>5938</v>
      </c>
      <c r="E32" s="3">
        <f>IF(A32-INT(A32)&lt;&gt;0,RIGHT(C32,2),)</f>
        <v>0</v>
      </c>
      <c r="F32" s="8" t="s">
        <v>216</v>
      </c>
      <c r="H32" s="1" t="str">
        <f t="shared" si="9"/>
        <v>.0</v>
      </c>
      <c r="I32" s="2">
        <f t="shared" si="10"/>
        <v>0</v>
      </c>
      <c r="J32" s="3">
        <f t="shared" si="6"/>
        <v>0</v>
      </c>
    </row>
    <row r="33" spans="1:10" ht="23.25">
      <c r="A33" s="1">
        <v>49061</v>
      </c>
      <c r="C33" s="1" t="str">
        <f>TEXT(A33,"#.#0")</f>
        <v>49061.0</v>
      </c>
      <c r="D33" s="2">
        <f t="shared" si="8"/>
        <v>49061</v>
      </c>
      <c r="E33" s="3">
        <f>IF(A33-INT(A33)&lt;&gt;0,RIGHT(C33,2),)</f>
        <v>0</v>
      </c>
      <c r="F33" s="8" t="s">
        <v>177</v>
      </c>
      <c r="H33" s="1" t="str">
        <f t="shared" si="9"/>
        <v>.0</v>
      </c>
      <c r="I33" s="2">
        <f t="shared" si="10"/>
        <v>0</v>
      </c>
      <c r="J33" s="3">
        <f>IF(G33-INT(G33)&lt;&gt;0,RIGHT(H33,2),)</f>
        <v>0</v>
      </c>
    </row>
    <row r="34" spans="1:10" ht="23.25">
      <c r="A34" s="1">
        <f>94500+135000</f>
        <v>229500</v>
      </c>
      <c r="C34" s="1" t="str">
        <f>TEXT(A34,"#.#0")</f>
        <v>229500.0</v>
      </c>
      <c r="D34" s="2">
        <f t="shared" si="8"/>
        <v>229500</v>
      </c>
      <c r="E34" s="3">
        <f>IF(A34-INT(A34)&lt;&gt;0,RIGHT(C34,2),)</f>
        <v>0</v>
      </c>
      <c r="F34" s="8" t="s">
        <v>286</v>
      </c>
      <c r="G34" s="1">
        <v>135000</v>
      </c>
      <c r="H34" s="1" t="str">
        <f t="shared" si="9"/>
        <v>135000.0</v>
      </c>
      <c r="I34" s="2">
        <f t="shared" si="10"/>
        <v>135000</v>
      </c>
      <c r="J34" s="3">
        <f t="shared" si="6"/>
        <v>0</v>
      </c>
    </row>
    <row r="35" spans="1:10" ht="23.25">
      <c r="A35" s="1">
        <v>14085</v>
      </c>
      <c r="C35" s="1" t="str">
        <f t="shared" si="7"/>
        <v>14085.0</v>
      </c>
      <c r="D35" s="2">
        <f t="shared" si="8"/>
        <v>14085</v>
      </c>
      <c r="E35" s="3">
        <f t="shared" si="0"/>
        <v>0</v>
      </c>
      <c r="F35" s="8" t="s">
        <v>178</v>
      </c>
      <c r="H35" s="1" t="str">
        <f t="shared" si="9"/>
        <v>.0</v>
      </c>
      <c r="I35" s="2">
        <f t="shared" si="10"/>
        <v>0</v>
      </c>
      <c r="J35" s="3">
        <f t="shared" si="6"/>
        <v>0</v>
      </c>
    </row>
    <row r="36" spans="1:10" ht="23.25">
      <c r="A36" s="1">
        <v>3422</v>
      </c>
      <c r="C36" s="1" t="str">
        <f>TEXT(A36,"#.#0")</f>
        <v>3422.0</v>
      </c>
      <c r="D36" s="2">
        <f t="shared" si="8"/>
        <v>3422</v>
      </c>
      <c r="E36" s="3">
        <f>IF(A36-INT(A36)&lt;&gt;0,RIGHT(C36,2),)</f>
        <v>0</v>
      </c>
      <c r="F36" s="8" t="s">
        <v>217</v>
      </c>
      <c r="H36" s="1" t="str">
        <f t="shared" si="9"/>
        <v>.0</v>
      </c>
      <c r="I36" s="2">
        <f t="shared" si="10"/>
        <v>0</v>
      </c>
      <c r="J36" s="3">
        <f t="shared" si="6"/>
        <v>0</v>
      </c>
    </row>
    <row r="37" spans="1:10" ht="23.25">
      <c r="A37" s="1">
        <v>51361</v>
      </c>
      <c r="C37" s="1" t="str">
        <f t="shared" si="7"/>
        <v>51361.0</v>
      </c>
      <c r="D37" s="2">
        <f t="shared" si="8"/>
        <v>51361</v>
      </c>
      <c r="E37" s="3">
        <f t="shared" si="0"/>
        <v>0</v>
      </c>
      <c r="F37" s="8" t="s">
        <v>179</v>
      </c>
      <c r="H37" s="1" t="str">
        <f t="shared" si="9"/>
        <v>.0</v>
      </c>
      <c r="I37" s="2">
        <f t="shared" si="10"/>
        <v>0</v>
      </c>
      <c r="J37" s="3">
        <f t="shared" si="6"/>
        <v>0</v>
      </c>
    </row>
    <row r="38" spans="1:10" ht="23.25">
      <c r="A38" s="1">
        <v>18000</v>
      </c>
      <c r="C38" s="1" t="str">
        <f t="shared" si="7"/>
        <v>18000.0</v>
      </c>
      <c r="D38" s="2">
        <f t="shared" si="8"/>
        <v>18000</v>
      </c>
      <c r="E38" s="3">
        <f t="shared" si="0"/>
        <v>0</v>
      </c>
      <c r="F38" s="8" t="s">
        <v>180</v>
      </c>
      <c r="H38" s="1" t="str">
        <f t="shared" si="9"/>
        <v>.0</v>
      </c>
      <c r="I38" s="2">
        <f t="shared" si="10"/>
        <v>0</v>
      </c>
      <c r="J38" s="3">
        <f aca="true" t="shared" si="11" ref="J38:J46">IF(G38-INT(G38)&lt;&gt;0,RIGHT(H38,2),)</f>
        <v>0</v>
      </c>
    </row>
    <row r="39" spans="1:10" ht="23.25">
      <c r="A39" s="1">
        <v>1427</v>
      </c>
      <c r="C39" s="1" t="str">
        <f>TEXT(A39,"#.#0")</f>
        <v>1427.0</v>
      </c>
      <c r="D39" s="2">
        <f t="shared" si="8"/>
        <v>1427</v>
      </c>
      <c r="E39" s="3">
        <f>IF(A39-INT(A39)&lt;&gt;0,RIGHT(C39,2),)</f>
        <v>0</v>
      </c>
      <c r="F39" s="8" t="s">
        <v>218</v>
      </c>
      <c r="H39" s="1" t="str">
        <f t="shared" si="9"/>
        <v>.0</v>
      </c>
      <c r="I39" s="2">
        <f t="shared" si="10"/>
        <v>0</v>
      </c>
      <c r="J39" s="3">
        <f>IF(G39-INT(G39)&lt;&gt;0,RIGHT(H39,2),)</f>
        <v>0</v>
      </c>
    </row>
    <row r="40" spans="1:10" ht="23.25">
      <c r="A40" s="1">
        <v>37505</v>
      </c>
      <c r="C40" s="1" t="str">
        <f t="shared" si="7"/>
        <v>37505.0</v>
      </c>
      <c r="D40" s="2">
        <f t="shared" si="8"/>
        <v>37505</v>
      </c>
      <c r="E40" s="3">
        <f t="shared" si="0"/>
        <v>0</v>
      </c>
      <c r="F40" s="8" t="s">
        <v>193</v>
      </c>
      <c r="H40" s="1" t="str">
        <f t="shared" si="9"/>
        <v>.0</v>
      </c>
      <c r="I40" s="2">
        <f t="shared" si="10"/>
        <v>0</v>
      </c>
      <c r="J40" s="3">
        <f t="shared" si="11"/>
        <v>0</v>
      </c>
    </row>
    <row r="41" spans="1:10" ht="23.25">
      <c r="A41" s="1">
        <v>36132</v>
      </c>
      <c r="C41" s="1" t="str">
        <f>TEXT(A41,"#.#0")</f>
        <v>36132.0</v>
      </c>
      <c r="D41" s="2">
        <f t="shared" si="8"/>
        <v>36132</v>
      </c>
      <c r="E41" s="3">
        <f>IF(A41-INT(A41)&lt;&gt;0,RIGHT(C41,2),)</f>
        <v>0</v>
      </c>
      <c r="F41" s="8" t="s">
        <v>198</v>
      </c>
      <c r="H41" s="1" t="str">
        <f t="shared" si="9"/>
        <v>.0</v>
      </c>
      <c r="I41" s="2">
        <f t="shared" si="10"/>
        <v>0</v>
      </c>
      <c r="J41" s="3">
        <f>IF(G41-INT(G41)&lt;&gt;0,RIGHT(H41,2),)</f>
        <v>0</v>
      </c>
    </row>
    <row r="42" spans="1:10" ht="23.25">
      <c r="A42" s="1">
        <v>7070</v>
      </c>
      <c r="C42" s="1" t="str">
        <f>TEXT(A42,"#.#0")</f>
        <v>7070.0</v>
      </c>
      <c r="D42" s="2">
        <f t="shared" si="8"/>
        <v>7070</v>
      </c>
      <c r="E42" s="3">
        <f>IF(A42-INT(A42)&lt;&gt;0,RIGHT(C42,2),)</f>
        <v>0</v>
      </c>
      <c r="F42" s="8" t="s">
        <v>209</v>
      </c>
      <c r="H42" s="1" t="str">
        <f t="shared" si="9"/>
        <v>.0</v>
      </c>
      <c r="I42" s="2">
        <f t="shared" si="10"/>
        <v>0</v>
      </c>
      <c r="J42" s="3">
        <f>IF(G42-INT(G42)&lt;&gt;0,RIGHT(H42,2),)</f>
        <v>0</v>
      </c>
    </row>
    <row r="43" spans="1:10" ht="23.25">
      <c r="A43" s="1">
        <v>8580</v>
      </c>
      <c r="C43" s="1" t="str">
        <f t="shared" si="7"/>
        <v>8580.0</v>
      </c>
      <c r="D43" s="2">
        <f t="shared" si="8"/>
        <v>8580</v>
      </c>
      <c r="E43" s="3">
        <f t="shared" si="0"/>
        <v>0</v>
      </c>
      <c r="F43" s="8" t="s">
        <v>314</v>
      </c>
      <c r="H43" s="1" t="str">
        <f t="shared" si="9"/>
        <v>.0</v>
      </c>
      <c r="I43" s="2">
        <f t="shared" si="10"/>
        <v>0</v>
      </c>
      <c r="J43" s="3">
        <f t="shared" si="11"/>
        <v>0</v>
      </c>
    </row>
    <row r="44" spans="3:10" ht="23.25">
      <c r="C44" s="1" t="str">
        <f t="shared" si="7"/>
        <v>.0</v>
      </c>
      <c r="D44" s="2">
        <f t="shared" si="8"/>
        <v>0</v>
      </c>
      <c r="E44" s="3">
        <f t="shared" si="0"/>
        <v>0</v>
      </c>
      <c r="F44" s="8" t="s">
        <v>182</v>
      </c>
      <c r="H44" s="1" t="str">
        <f t="shared" si="9"/>
        <v>.0</v>
      </c>
      <c r="I44" s="2">
        <f t="shared" si="10"/>
        <v>0</v>
      </c>
      <c r="J44" s="3">
        <f t="shared" si="11"/>
        <v>0</v>
      </c>
    </row>
    <row r="45" spans="3:10" ht="23.25">
      <c r="C45" s="1" t="str">
        <f t="shared" si="7"/>
        <v>.0</v>
      </c>
      <c r="D45" s="2">
        <f t="shared" si="8"/>
        <v>0</v>
      </c>
      <c r="E45" s="3">
        <f t="shared" si="0"/>
        <v>0</v>
      </c>
      <c r="F45" s="8" t="s">
        <v>183</v>
      </c>
      <c r="H45" s="1" t="str">
        <f t="shared" si="9"/>
        <v>.0</v>
      </c>
      <c r="I45" s="2">
        <f t="shared" si="10"/>
        <v>0</v>
      </c>
      <c r="J45" s="3">
        <f t="shared" si="11"/>
        <v>0</v>
      </c>
    </row>
    <row r="46" spans="3:10" ht="23.25">
      <c r="C46" s="1" t="str">
        <f t="shared" si="7"/>
        <v>.0</v>
      </c>
      <c r="D46" s="2">
        <f t="shared" si="8"/>
        <v>0</v>
      </c>
      <c r="E46" s="3">
        <f t="shared" si="0"/>
        <v>0</v>
      </c>
      <c r="F46" s="8" t="s">
        <v>184</v>
      </c>
      <c r="H46" s="1" t="str">
        <f t="shared" si="9"/>
        <v>.0</v>
      </c>
      <c r="I46" s="2">
        <f t="shared" si="10"/>
        <v>0</v>
      </c>
      <c r="J46" s="3">
        <f t="shared" si="11"/>
        <v>0</v>
      </c>
    </row>
    <row r="47" spans="1:10" ht="23.25">
      <c r="A47" s="1">
        <f>12000+12000+12000+4000</f>
        <v>40000</v>
      </c>
      <c r="C47" s="1" t="str">
        <f>TEXT(A47,"#.#0")</f>
        <v>40000.0</v>
      </c>
      <c r="D47" s="2">
        <f t="shared" si="8"/>
        <v>40000</v>
      </c>
      <c r="E47" s="3">
        <f>IF(A47-INT(A47)&lt;&gt;0,RIGHT(C47,2),)</f>
        <v>0</v>
      </c>
      <c r="F47" s="8" t="s">
        <v>287</v>
      </c>
      <c r="G47" s="1">
        <v>4000</v>
      </c>
      <c r="H47" s="1" t="str">
        <f t="shared" si="9"/>
        <v>4000.0</v>
      </c>
      <c r="I47" s="2">
        <f t="shared" si="10"/>
        <v>4000</v>
      </c>
      <c r="J47" s="3">
        <f aca="true" t="shared" si="12" ref="J47:J54">IF(G47-INT(G47)&lt;&gt;0,RIGHT(H47,2),)</f>
        <v>0</v>
      </c>
    </row>
    <row r="48" spans="1:10" ht="23.25">
      <c r="A48" s="1">
        <v>10500</v>
      </c>
      <c r="C48" s="1" t="str">
        <f>TEXT(A48,"#.#0")</f>
        <v>10500.0</v>
      </c>
      <c r="D48" s="2">
        <f t="shared" si="8"/>
        <v>10500</v>
      </c>
      <c r="E48" s="3">
        <f>IF(A48-INT(A48)&lt;&gt;0,RIGHT(C48,2),)</f>
        <v>0</v>
      </c>
      <c r="F48" s="8" t="s">
        <v>315</v>
      </c>
      <c r="H48" s="1" t="str">
        <f t="shared" si="9"/>
        <v>.0</v>
      </c>
      <c r="I48" s="2">
        <f t="shared" si="10"/>
        <v>0</v>
      </c>
      <c r="J48" s="3">
        <f t="shared" si="12"/>
        <v>0</v>
      </c>
    </row>
    <row r="49" spans="1:10" ht="23.25">
      <c r="A49" s="1">
        <v>34200</v>
      </c>
      <c r="C49" s="1" t="str">
        <f>TEXT(A49,"#.#0")</f>
        <v>34200.0</v>
      </c>
      <c r="D49" s="2">
        <f t="shared" si="8"/>
        <v>34200</v>
      </c>
      <c r="E49" s="3">
        <f>IF(A49-INT(A49)&lt;&gt;0,RIGHT(C49,2),)</f>
        <v>0</v>
      </c>
      <c r="F49" s="8" t="s">
        <v>321</v>
      </c>
      <c r="H49" s="1" t="str">
        <f t="shared" si="9"/>
        <v>.0</v>
      </c>
      <c r="I49" s="2">
        <f t="shared" si="10"/>
        <v>0</v>
      </c>
      <c r="J49" s="3">
        <f>IF(G49-INT(G49)&lt;&gt;0,RIGHT(H49,2),)</f>
        <v>0</v>
      </c>
    </row>
    <row r="50" spans="1:10" ht="23.25">
      <c r="A50" s="1">
        <v>1710</v>
      </c>
      <c r="C50" s="1" t="str">
        <f>TEXT(A50,"#.#0")</f>
        <v>1710.0</v>
      </c>
      <c r="D50" s="2">
        <f t="shared" si="8"/>
        <v>1710</v>
      </c>
      <c r="E50" s="3">
        <f>IF(A50-INT(A50)&lt;&gt;0,RIGHT(C50,2),)</f>
        <v>0</v>
      </c>
      <c r="F50" s="8" t="s">
        <v>322</v>
      </c>
      <c r="H50" s="1" t="str">
        <f t="shared" si="9"/>
        <v>.0</v>
      </c>
      <c r="I50" s="2">
        <f t="shared" si="10"/>
        <v>0</v>
      </c>
      <c r="J50" s="3">
        <f>IF(G50-INT(G50)&lt;&gt;0,RIGHT(H50,2),)</f>
        <v>0</v>
      </c>
    </row>
    <row r="51" spans="3:10" ht="23.25">
      <c r="C51" s="1" t="str">
        <f t="shared" si="2"/>
        <v>.0</v>
      </c>
      <c r="D51" s="2">
        <f t="shared" si="3"/>
        <v>0</v>
      </c>
      <c r="E51" s="3">
        <f t="shared" si="0"/>
        <v>0</v>
      </c>
      <c r="F51" s="8" t="s">
        <v>131</v>
      </c>
      <c r="H51" s="1" t="str">
        <f t="shared" si="1"/>
        <v>.0</v>
      </c>
      <c r="I51" s="2">
        <f t="shared" si="4"/>
        <v>0</v>
      </c>
      <c r="J51" s="3">
        <f t="shared" si="12"/>
        <v>0</v>
      </c>
    </row>
    <row r="52" spans="3:10" ht="23.25">
      <c r="C52" s="1" t="str">
        <f t="shared" si="2"/>
        <v>.0</v>
      </c>
      <c r="D52" s="2">
        <f t="shared" si="3"/>
        <v>0</v>
      </c>
      <c r="E52" s="113">
        <f t="shared" si="0"/>
        <v>0</v>
      </c>
      <c r="F52" s="112" t="s">
        <v>96</v>
      </c>
      <c r="H52" s="1" t="str">
        <f t="shared" si="1"/>
        <v>.0</v>
      </c>
      <c r="I52" s="2">
        <f t="shared" si="4"/>
        <v>0</v>
      </c>
      <c r="J52" s="3">
        <f t="shared" si="12"/>
        <v>0</v>
      </c>
    </row>
    <row r="53" spans="3:10" ht="23.25">
      <c r="C53" s="1" t="str">
        <f t="shared" si="2"/>
        <v>.0</v>
      </c>
      <c r="D53" s="2">
        <f t="shared" si="3"/>
        <v>0</v>
      </c>
      <c r="E53" s="113">
        <f t="shared" si="0"/>
        <v>0</v>
      </c>
      <c r="F53" s="112" t="s">
        <v>21</v>
      </c>
      <c r="H53" s="1" t="str">
        <f t="shared" si="1"/>
        <v>.0</v>
      </c>
      <c r="I53" s="2">
        <f t="shared" si="4"/>
        <v>0</v>
      </c>
      <c r="J53" s="3">
        <f t="shared" si="12"/>
        <v>0</v>
      </c>
    </row>
    <row r="54" spans="3:10" ht="23.25">
      <c r="C54" s="1" t="str">
        <f t="shared" si="2"/>
        <v>.0</v>
      </c>
      <c r="D54" s="2">
        <f t="shared" si="3"/>
        <v>0</v>
      </c>
      <c r="E54" s="113">
        <f t="shared" si="0"/>
        <v>0</v>
      </c>
      <c r="F54" s="112" t="s">
        <v>247</v>
      </c>
      <c r="H54" s="1" t="str">
        <f t="shared" si="1"/>
        <v>.0</v>
      </c>
      <c r="I54" s="2">
        <f t="shared" si="4"/>
        <v>0</v>
      </c>
      <c r="J54" s="3">
        <f t="shared" si="12"/>
        <v>0</v>
      </c>
    </row>
    <row r="55" spans="1:10" ht="23.25">
      <c r="A55" s="1">
        <f>500+500+1000+500+500+500+1000+500</f>
        <v>5000</v>
      </c>
      <c r="C55" s="1" t="str">
        <f t="shared" si="2"/>
        <v>5000.0</v>
      </c>
      <c r="D55" s="2">
        <f t="shared" si="3"/>
        <v>5000</v>
      </c>
      <c r="E55" s="113">
        <f t="shared" si="0"/>
        <v>0</v>
      </c>
      <c r="F55" s="112" t="s">
        <v>14</v>
      </c>
      <c r="G55" s="1">
        <v>500</v>
      </c>
      <c r="H55" s="1" t="str">
        <f t="shared" si="1"/>
        <v>500.0</v>
      </c>
      <c r="I55" s="2">
        <f t="shared" si="4"/>
        <v>500</v>
      </c>
      <c r="J55" s="3">
        <f aca="true" t="shared" si="13" ref="J55:J64">IF(G55-INT(G55)&lt;&gt;0,RIGHT(H55,2),)</f>
        <v>0</v>
      </c>
    </row>
    <row r="56" spans="1:10" ht="23.25">
      <c r="A56" s="1">
        <f>1450+2320</f>
        <v>3770</v>
      </c>
      <c r="C56" s="1" t="str">
        <f t="shared" si="2"/>
        <v>3770.0</v>
      </c>
      <c r="D56" s="2">
        <f t="shared" si="3"/>
        <v>3770</v>
      </c>
      <c r="E56" s="113">
        <f t="shared" si="0"/>
        <v>0</v>
      </c>
      <c r="F56" s="112" t="s">
        <v>235</v>
      </c>
      <c r="G56" s="1">
        <v>0</v>
      </c>
      <c r="H56" s="1" t="str">
        <f t="shared" si="1"/>
        <v>.0</v>
      </c>
      <c r="I56" s="2">
        <f t="shared" si="4"/>
        <v>0</v>
      </c>
      <c r="J56" s="3">
        <f t="shared" si="13"/>
        <v>0</v>
      </c>
    </row>
    <row r="57" spans="1:10" ht="23.25">
      <c r="A57" s="1">
        <v>10525.17</v>
      </c>
      <c r="C57" s="1"/>
      <c r="D57" s="2"/>
      <c r="E57" s="113"/>
      <c r="F57" s="112" t="s">
        <v>233</v>
      </c>
      <c r="G57" s="1">
        <v>10525.17</v>
      </c>
      <c r="H57" s="1"/>
      <c r="I57" s="2"/>
      <c r="J57" s="3"/>
    </row>
    <row r="58" spans="1:10" ht="23.25">
      <c r="A58" s="1">
        <v>42952.27</v>
      </c>
      <c r="C58" s="1" t="str">
        <f t="shared" si="2"/>
        <v>42952.27</v>
      </c>
      <c r="D58" s="2">
        <f t="shared" si="3"/>
        <v>42952</v>
      </c>
      <c r="E58" s="113" t="str">
        <f t="shared" si="0"/>
        <v>27</v>
      </c>
      <c r="F58" s="112" t="s">
        <v>155</v>
      </c>
      <c r="G58" s="1">
        <v>0</v>
      </c>
      <c r="H58" s="1" t="str">
        <f t="shared" si="1"/>
        <v>.0</v>
      </c>
      <c r="I58" s="2">
        <f t="shared" si="4"/>
        <v>0</v>
      </c>
      <c r="J58" s="3">
        <f t="shared" si="13"/>
        <v>0</v>
      </c>
    </row>
    <row r="59" spans="3:10" ht="23.25">
      <c r="C59" s="1" t="str">
        <f t="shared" si="2"/>
        <v>.0</v>
      </c>
      <c r="D59" s="2">
        <f t="shared" si="3"/>
        <v>0</v>
      </c>
      <c r="E59" s="113">
        <f t="shared" si="0"/>
        <v>0</v>
      </c>
      <c r="F59" s="112" t="s">
        <v>15</v>
      </c>
      <c r="H59" s="1" t="str">
        <f t="shared" si="1"/>
        <v>.0</v>
      </c>
      <c r="I59" s="2">
        <f t="shared" si="4"/>
        <v>0</v>
      </c>
      <c r="J59" s="3">
        <f t="shared" si="13"/>
        <v>0</v>
      </c>
    </row>
    <row r="60" spans="1:10" ht="23.25">
      <c r="A60" s="1">
        <f>84500+2433.18</f>
        <v>86933.18</v>
      </c>
      <c r="C60" s="1" t="str">
        <f t="shared" si="2"/>
        <v>86933.18</v>
      </c>
      <c r="D60" s="2">
        <f t="shared" si="3"/>
        <v>86933</v>
      </c>
      <c r="E60" s="113" t="str">
        <f t="shared" si="0"/>
        <v>18</v>
      </c>
      <c r="F60" s="112" t="s">
        <v>16</v>
      </c>
      <c r="H60" s="1" t="str">
        <f t="shared" si="1"/>
        <v>.0</v>
      </c>
      <c r="I60" s="2">
        <f t="shared" si="4"/>
        <v>0</v>
      </c>
      <c r="J60" s="3">
        <f t="shared" si="13"/>
        <v>0</v>
      </c>
    </row>
    <row r="61" spans="1:10" ht="23.25">
      <c r="A61" s="1">
        <f>3781+143647.55+135</f>
        <v>147563.55</v>
      </c>
      <c r="C61" s="1" t="str">
        <f t="shared" si="2"/>
        <v>147563.55</v>
      </c>
      <c r="D61" s="2">
        <f t="shared" si="3"/>
        <v>147563</v>
      </c>
      <c r="E61" s="113" t="str">
        <f t="shared" si="0"/>
        <v>55</v>
      </c>
      <c r="F61" s="112" t="s">
        <v>18</v>
      </c>
      <c r="G61" s="1">
        <v>0</v>
      </c>
      <c r="H61" s="1" t="str">
        <f t="shared" si="1"/>
        <v>.0</v>
      </c>
      <c r="I61" s="2">
        <f t="shared" si="4"/>
        <v>0</v>
      </c>
      <c r="J61" s="3">
        <f t="shared" si="13"/>
        <v>0</v>
      </c>
    </row>
    <row r="62" spans="3:10" ht="23.25">
      <c r="C62" s="1" t="str">
        <f>TEXT(A62,"#.#0")</f>
        <v>.0</v>
      </c>
      <c r="D62" s="2">
        <f t="shared" si="3"/>
        <v>0</v>
      </c>
      <c r="E62" s="113">
        <f>IF(A62-INT(A62)&lt;&gt;0,RIGHT(C62,2),)</f>
        <v>0</v>
      </c>
      <c r="F62" s="112" t="s">
        <v>10</v>
      </c>
      <c r="H62" s="1" t="str">
        <f t="shared" si="1"/>
        <v>.0</v>
      </c>
      <c r="I62" s="2">
        <f t="shared" si="4"/>
        <v>0</v>
      </c>
      <c r="J62" s="3">
        <f>IF(G62-INT(G62)&lt;&gt;0,RIGHT(H62,2),)</f>
        <v>0</v>
      </c>
    </row>
    <row r="63" spans="3:10" ht="23.25">
      <c r="C63" s="1" t="str">
        <f t="shared" si="2"/>
        <v>.0</v>
      </c>
      <c r="D63" s="2">
        <f t="shared" si="3"/>
        <v>0</v>
      </c>
      <c r="E63" s="113">
        <f t="shared" si="0"/>
        <v>0</v>
      </c>
      <c r="F63" s="112" t="s">
        <v>120</v>
      </c>
      <c r="H63" s="1" t="str">
        <f t="shared" si="1"/>
        <v>.0</v>
      </c>
      <c r="I63" s="2">
        <f t="shared" si="4"/>
        <v>0</v>
      </c>
      <c r="J63" s="3">
        <f t="shared" si="13"/>
        <v>0</v>
      </c>
    </row>
    <row r="64" spans="3:10" ht="23.25">
      <c r="C64" s="1"/>
      <c r="D64" s="2"/>
      <c r="E64" s="3"/>
      <c r="F64" s="54"/>
      <c r="H64" s="1" t="str">
        <f t="shared" si="1"/>
        <v>.0</v>
      </c>
      <c r="I64" s="2">
        <f t="shared" si="4"/>
        <v>0</v>
      </c>
      <c r="J64" s="3">
        <f t="shared" si="13"/>
        <v>0</v>
      </c>
    </row>
    <row r="65" spans="3:10" ht="23.25">
      <c r="C65" s="1"/>
      <c r="D65" s="2"/>
      <c r="E65" s="3"/>
      <c r="F65" s="54"/>
      <c r="H65" s="1"/>
      <c r="I65" s="2"/>
      <c r="J65" s="3"/>
    </row>
    <row r="66" spans="3:10" ht="23.25">
      <c r="C66" s="1"/>
      <c r="D66" s="2"/>
      <c r="E66" s="3"/>
      <c r="F66" s="54"/>
      <c r="H66" s="1"/>
      <c r="I66" s="2"/>
      <c r="J66" s="3"/>
    </row>
    <row r="67" spans="1:10" ht="23.25">
      <c r="A67" s="1">
        <f>SUM(A2:A66)</f>
        <v>213373243.71</v>
      </c>
      <c r="C67" s="1" t="str">
        <f t="shared" si="2"/>
        <v>213373243.71</v>
      </c>
      <c r="D67" s="2">
        <f t="shared" si="3"/>
        <v>213373243</v>
      </c>
      <c r="E67" s="3" t="str">
        <f>IF(A67-INT(A67)&lt;&gt;0,RIGHT(C67,2),)</f>
        <v>71</v>
      </c>
      <c r="F67" s="109" t="s">
        <v>26</v>
      </c>
      <c r="G67" s="1">
        <f>SUM(G2:G66)</f>
        <v>21405526.000000004</v>
      </c>
      <c r="H67" s="1" t="str">
        <f>TEXT(G67,"#.#0")</f>
        <v>21405526.0</v>
      </c>
      <c r="I67" s="2">
        <f t="shared" si="4"/>
        <v>21405526</v>
      </c>
      <c r="J67" s="3" t="str">
        <f>IF(G67-INT(G67)&lt;&gt;0,RIGHT(H67,2),)</f>
        <v>.0</v>
      </c>
    </row>
    <row r="68" spans="3:10" ht="23.25">
      <c r="C68" s="1"/>
      <c r="D68" s="2"/>
      <c r="E68" s="3"/>
      <c r="H68" s="1" t="str">
        <f aca="true" t="shared" si="14" ref="H68:H133">TEXT(G68,"#.#0")</f>
        <v>.0</v>
      </c>
      <c r="I68" s="2"/>
      <c r="J68" s="3"/>
    </row>
    <row r="69" spans="1:13" ht="23.25">
      <c r="A69" s="1">
        <f>88141.97+440557.09+2975898.18+336760.83+927635.04+357540.86+303025.96+305400.49+303113.54+282602.21</f>
        <v>6320676.170000001</v>
      </c>
      <c r="C69" s="1" t="str">
        <f t="shared" si="2"/>
        <v>6320676.17</v>
      </c>
      <c r="D69" s="2">
        <f t="shared" si="3"/>
        <v>6320676</v>
      </c>
      <c r="E69" s="3" t="str">
        <f aca="true" t="shared" si="15" ref="E69:E106">IF(A69-INT(A69)&lt;&gt;0,RIGHT(C69,2),)</f>
        <v>17</v>
      </c>
      <c r="F69" s="7" t="s">
        <v>14</v>
      </c>
      <c r="G69" s="1">
        <v>282602.21</v>
      </c>
      <c r="H69" s="1" t="str">
        <f t="shared" si="14"/>
        <v>282602.21</v>
      </c>
      <c r="I69" s="2">
        <f t="shared" si="4"/>
        <v>282602</v>
      </c>
      <c r="J69" s="3" t="str">
        <f>IF(G69-INT(G69)&lt;&gt;0,RIGHT(H69,2),)</f>
        <v>21</v>
      </c>
      <c r="K69" t="s">
        <v>362</v>
      </c>
      <c r="M69" s="1"/>
    </row>
    <row r="70" spans="1:13" ht="23.25">
      <c r="A70" s="1">
        <f>353160+353160+340458.39+337410+337410+337410+337410+337410+170970+170970</f>
        <v>3075768.39</v>
      </c>
      <c r="C70" s="1" t="str">
        <f t="shared" si="2"/>
        <v>3075768.39</v>
      </c>
      <c r="D70" s="2">
        <f t="shared" si="3"/>
        <v>3075768</v>
      </c>
      <c r="E70" s="3" t="str">
        <f t="shared" si="15"/>
        <v>39</v>
      </c>
      <c r="F70" s="7" t="s">
        <v>155</v>
      </c>
      <c r="G70" s="1">
        <v>170970</v>
      </c>
      <c r="H70" s="1" t="str">
        <f t="shared" si="14"/>
        <v>170970.0</v>
      </c>
      <c r="I70" s="2">
        <f t="shared" si="4"/>
        <v>170970</v>
      </c>
      <c r="J70" s="3">
        <f aca="true" t="shared" si="16" ref="J70:J106">IF(G70-INT(G70)&lt;&gt;0,RIGHT(H70,2),)</f>
        <v>0</v>
      </c>
      <c r="M70" s="1"/>
    </row>
    <row r="71" spans="1:13" ht="23.25">
      <c r="A71" s="1">
        <f>1654379.03+1775574.2+1745690.62+1828218.71+1821600+1834699.85+1863410+1893631.29+1947845.72+2003968</f>
        <v>18369017.42</v>
      </c>
      <c r="C71" s="1" t="str">
        <f t="shared" si="2"/>
        <v>18369017.42</v>
      </c>
      <c r="D71" s="2">
        <f t="shared" si="3"/>
        <v>18369017</v>
      </c>
      <c r="E71" s="3" t="str">
        <f t="shared" si="15"/>
        <v>42</v>
      </c>
      <c r="F71" s="7" t="s">
        <v>233</v>
      </c>
      <c r="G71" s="1">
        <v>1947845.72</v>
      </c>
      <c r="H71" s="1" t="str">
        <f t="shared" si="14"/>
        <v>1947845.72</v>
      </c>
      <c r="I71" s="2">
        <f t="shared" si="4"/>
        <v>1947845</v>
      </c>
      <c r="J71" s="3" t="str">
        <f>IF(G71-INT(G71)&lt;&gt;0,RIGHT(H71,2),)</f>
        <v>72</v>
      </c>
      <c r="M71" s="1"/>
    </row>
    <row r="72" spans="1:13" ht="23.25">
      <c r="A72" s="1">
        <f>74105+81145+77625+79815+79815+79815+81335+81335+81335+81335</f>
        <v>797660</v>
      </c>
      <c r="C72" s="1" t="str">
        <f t="shared" si="2"/>
        <v>797660.0</v>
      </c>
      <c r="D72" s="2">
        <f t="shared" si="3"/>
        <v>797660</v>
      </c>
      <c r="E72" s="3">
        <f t="shared" si="15"/>
        <v>0</v>
      </c>
      <c r="F72" s="7" t="s">
        <v>234</v>
      </c>
      <c r="G72" s="1">
        <v>81335</v>
      </c>
      <c r="H72" s="1" t="str">
        <f t="shared" si="14"/>
        <v>81335.0</v>
      </c>
      <c r="I72" s="2">
        <f t="shared" si="4"/>
        <v>81335</v>
      </c>
      <c r="J72" s="3">
        <f t="shared" si="16"/>
        <v>0</v>
      </c>
      <c r="M72" s="1"/>
    </row>
    <row r="73" spans="1:13" ht="23.25">
      <c r="A73" s="1">
        <f>2895671.45+3472763+3197340.18+3270240.65+3273324.82+3262980+3226173.33+3181065.81+3168113+3159291.62</f>
        <v>32106963.86</v>
      </c>
      <c r="C73" s="1" t="str">
        <f t="shared" si="2"/>
        <v>32106963.86</v>
      </c>
      <c r="D73" s="2">
        <f t="shared" si="3"/>
        <v>32106963</v>
      </c>
      <c r="E73" s="3" t="str">
        <f t="shared" si="15"/>
        <v>86</v>
      </c>
      <c r="F73" s="7" t="s">
        <v>235</v>
      </c>
      <c r="G73" s="1">
        <v>3159291.62</v>
      </c>
      <c r="H73" s="1" t="str">
        <f t="shared" si="14"/>
        <v>3159291.62</v>
      </c>
      <c r="I73" s="2">
        <f t="shared" si="4"/>
        <v>3159291</v>
      </c>
      <c r="J73" s="3" t="str">
        <f t="shared" si="16"/>
        <v>62</v>
      </c>
      <c r="M73" s="1"/>
    </row>
    <row r="74" spans="1:13" ht="23.25">
      <c r="A74" s="1">
        <f>144120+186420+230045+197432+180880+219415.75+155419.68+225085+264746.75+141700</f>
        <v>1945264.18</v>
      </c>
      <c r="C74" s="1" t="str">
        <f t="shared" si="2"/>
        <v>1945264.18</v>
      </c>
      <c r="D74" s="2">
        <f t="shared" si="3"/>
        <v>1945264</v>
      </c>
      <c r="E74" s="3" t="str">
        <f t="shared" si="15"/>
        <v>18</v>
      </c>
      <c r="F74" s="7" t="s">
        <v>15</v>
      </c>
      <c r="G74" s="1">
        <v>141700</v>
      </c>
      <c r="H74" s="1" t="str">
        <f t="shared" si="14"/>
        <v>141700.0</v>
      </c>
      <c r="I74" s="2">
        <f t="shared" si="4"/>
        <v>141700</v>
      </c>
      <c r="J74" s="3">
        <f t="shared" si="16"/>
        <v>0</v>
      </c>
      <c r="M74" s="1"/>
    </row>
    <row r="75" spans="1:13" ht="23.25">
      <c r="A75" s="1">
        <f>161581+1251732.67+2793408.19+2527748.31+2646272+4097512.73+1631999.4+1880073.41+2430340.7+1611690.22</f>
        <v>21032358.63</v>
      </c>
      <c r="C75" s="1" t="str">
        <f t="shared" si="2"/>
        <v>21032358.63</v>
      </c>
      <c r="D75" s="2">
        <f t="shared" si="3"/>
        <v>21032358</v>
      </c>
      <c r="E75" s="3" t="str">
        <f t="shared" si="15"/>
        <v>63</v>
      </c>
      <c r="F75" s="7" t="s">
        <v>16</v>
      </c>
      <c r="G75" s="1">
        <f>1145122.22+466568</f>
        <v>1611690.22</v>
      </c>
      <c r="H75" s="1" t="str">
        <f t="shared" si="14"/>
        <v>1611690.22</v>
      </c>
      <c r="I75" s="2">
        <f t="shared" si="4"/>
        <v>1611690</v>
      </c>
      <c r="J75" s="3" t="str">
        <f t="shared" si="16"/>
        <v>22</v>
      </c>
      <c r="M75" s="1"/>
    </row>
    <row r="76" spans="1:13" ht="23.25">
      <c r="A76" s="45">
        <f>308370.6+731821.7+707028.38+614367.75+1218966.09+795165.16+545808.82+1319214.47+407359.79</f>
        <v>6648102.76</v>
      </c>
      <c r="B76" s="45"/>
      <c r="C76" s="1" t="str">
        <f t="shared" si="2"/>
        <v>6648102.76</v>
      </c>
      <c r="D76" s="2">
        <f t="shared" si="3"/>
        <v>6648102</v>
      </c>
      <c r="E76" s="3" t="str">
        <f t="shared" si="15"/>
        <v>76</v>
      </c>
      <c r="F76" s="7" t="s">
        <v>17</v>
      </c>
      <c r="G76" s="1">
        <v>407359.79</v>
      </c>
      <c r="H76" s="1" t="str">
        <f t="shared" si="14"/>
        <v>407359.79</v>
      </c>
      <c r="I76" s="2">
        <f t="shared" si="4"/>
        <v>407359</v>
      </c>
      <c r="J76" s="3" t="str">
        <f t="shared" si="16"/>
        <v>79</v>
      </c>
      <c r="M76" s="1"/>
    </row>
    <row r="77" spans="1:13" ht="23.25">
      <c r="A77" s="1">
        <f>137873.39+168338.16+197623.94+200027.82+132407.84+195711.61+187142.14+299656.21+244038.02+224856.92</f>
        <v>1987676.0499999998</v>
      </c>
      <c r="C77" s="1" t="str">
        <f t="shared" si="2"/>
        <v>1987676.05</v>
      </c>
      <c r="D77" s="2">
        <f t="shared" si="3"/>
        <v>1987676</v>
      </c>
      <c r="E77" s="3" t="str">
        <f t="shared" si="15"/>
        <v>05</v>
      </c>
      <c r="F77" s="7" t="s">
        <v>18</v>
      </c>
      <c r="G77" s="1">
        <v>224856.92</v>
      </c>
      <c r="H77" s="1" t="str">
        <f t="shared" si="14"/>
        <v>224856.92</v>
      </c>
      <c r="I77" s="2">
        <f t="shared" si="4"/>
        <v>224856</v>
      </c>
      <c r="J77" s="3" t="str">
        <f t="shared" si="16"/>
        <v>92</v>
      </c>
      <c r="L77" s="122"/>
      <c r="M77" s="1"/>
    </row>
    <row r="78" spans="1:13" ht="23.25">
      <c r="A78" s="1">
        <f>286402+702174.85+338188.32+9229734.95+395919+1452930.68+320905+309536.4+300252.5</f>
        <v>13336043.7</v>
      </c>
      <c r="C78" s="1" t="str">
        <f t="shared" si="2"/>
        <v>13336043.70</v>
      </c>
      <c r="D78" s="2">
        <f t="shared" si="3"/>
        <v>13336043</v>
      </c>
      <c r="E78" s="3" t="str">
        <f t="shared" si="15"/>
        <v>70</v>
      </c>
      <c r="F78" s="7" t="s">
        <v>19</v>
      </c>
      <c r="G78" s="1">
        <v>300252.5</v>
      </c>
      <c r="H78" s="1" t="str">
        <f t="shared" si="14"/>
        <v>300252.50</v>
      </c>
      <c r="I78" s="2">
        <f t="shared" si="4"/>
        <v>300252</v>
      </c>
      <c r="J78" s="3" t="str">
        <f t="shared" si="16"/>
        <v>50</v>
      </c>
      <c r="M78" s="1"/>
    </row>
    <row r="79" spans="1:13" ht="23.25">
      <c r="A79" s="1">
        <f>2663000+3269500+8339000+1049577+3342700+2706800+1772900</f>
        <v>23143477</v>
      </c>
      <c r="C79" s="1" t="str">
        <f t="shared" si="2"/>
        <v>23143477.0</v>
      </c>
      <c r="D79" s="2">
        <f t="shared" si="3"/>
        <v>23143477</v>
      </c>
      <c r="E79" s="3">
        <f t="shared" si="15"/>
        <v>0</v>
      </c>
      <c r="F79" s="7" t="s">
        <v>20</v>
      </c>
      <c r="G79" s="1">
        <v>1772900</v>
      </c>
      <c r="H79" s="1" t="str">
        <f t="shared" si="14"/>
        <v>1772900.0</v>
      </c>
      <c r="I79" s="2">
        <f t="shared" si="4"/>
        <v>1772900</v>
      </c>
      <c r="J79" s="3">
        <f t="shared" si="16"/>
        <v>0</v>
      </c>
      <c r="L79" s="122"/>
      <c r="M79" s="1"/>
    </row>
    <row r="80" spans="1:13" ht="23.25">
      <c r="A80" s="55">
        <f>10000+643000+50000+90000+650000+850000+944000</f>
        <v>3237000</v>
      </c>
      <c r="B80" s="55">
        <f>SUM(A69:A80)</f>
        <v>132000008.16000001</v>
      </c>
      <c r="C80" s="1" t="str">
        <f t="shared" si="2"/>
        <v>3237000.0</v>
      </c>
      <c r="D80" s="2">
        <f t="shared" si="3"/>
        <v>3237000</v>
      </c>
      <c r="E80" s="3">
        <f t="shared" si="15"/>
        <v>0</v>
      </c>
      <c r="F80" s="7" t="s">
        <v>10</v>
      </c>
      <c r="G80" s="1">
        <v>944000</v>
      </c>
      <c r="H80" s="1" t="str">
        <f t="shared" si="14"/>
        <v>944000.0</v>
      </c>
      <c r="I80" s="2">
        <f t="shared" si="4"/>
        <v>944000</v>
      </c>
      <c r="J80" s="3">
        <f t="shared" si="16"/>
        <v>0</v>
      </c>
      <c r="L80" s="122"/>
      <c r="M80" s="1"/>
    </row>
    <row r="81" spans="1:13" ht="23.25">
      <c r="A81" s="55"/>
      <c r="B81" s="55"/>
      <c r="C81" s="1" t="str">
        <f>TEXT(A81,"#.#0")</f>
        <v>.0</v>
      </c>
      <c r="D81" s="2">
        <f t="shared" si="3"/>
        <v>0</v>
      </c>
      <c r="E81" s="3">
        <f>IF(A81-INT(A81)&lt;&gt;0,RIGHT(C81,2),)</f>
        <v>0</v>
      </c>
      <c r="F81" s="7" t="s">
        <v>194</v>
      </c>
      <c r="H81" s="1" t="str">
        <f t="shared" si="14"/>
        <v>.0</v>
      </c>
      <c r="I81" s="2">
        <f t="shared" si="4"/>
        <v>0</v>
      </c>
      <c r="J81" s="3">
        <f>IF(G81-INT(G81)&lt;&gt;0,RIGHT(H81,2),)</f>
        <v>0</v>
      </c>
      <c r="L81" s="122">
        <f>SUM(G69:G80)</f>
        <v>11044803.98</v>
      </c>
      <c r="M81" s="1"/>
    </row>
    <row r="82" spans="3:13" ht="23.25">
      <c r="C82" s="1" t="str">
        <f t="shared" si="2"/>
        <v>.0</v>
      </c>
      <c r="D82" s="2">
        <f t="shared" si="3"/>
        <v>0</v>
      </c>
      <c r="E82" s="3">
        <f t="shared" si="15"/>
        <v>0</v>
      </c>
      <c r="F82" s="7" t="s">
        <v>148</v>
      </c>
      <c r="H82" s="1" t="str">
        <f t="shared" si="14"/>
        <v>.0</v>
      </c>
      <c r="I82" s="2">
        <f t="shared" si="4"/>
        <v>0</v>
      </c>
      <c r="J82" s="3">
        <f>IF(G82-INT(G82)&lt;&gt;0,RIGHT(H82,2),)</f>
        <v>0</v>
      </c>
      <c r="M82" s="1"/>
    </row>
    <row r="83" spans="1:13" ht="23.25">
      <c r="A83" s="1">
        <f>108146+784100+1043610+481708+1760830+399850+688330+747922+253700+434022</f>
        <v>6702218</v>
      </c>
      <c r="C83" s="1" t="str">
        <f t="shared" si="2"/>
        <v>6702218.0</v>
      </c>
      <c r="D83" s="2">
        <f t="shared" si="3"/>
        <v>6702218</v>
      </c>
      <c r="E83" s="3">
        <f t="shared" si="15"/>
        <v>0</v>
      </c>
      <c r="F83" s="7" t="s">
        <v>80</v>
      </c>
      <c r="G83" s="114">
        <v>253700</v>
      </c>
      <c r="H83" s="1" t="str">
        <f t="shared" si="14"/>
        <v>253700.0</v>
      </c>
      <c r="I83" s="2">
        <f t="shared" si="4"/>
        <v>253700</v>
      </c>
      <c r="J83" s="3">
        <f t="shared" si="16"/>
        <v>0</v>
      </c>
      <c r="M83" s="1"/>
    </row>
    <row r="84" spans="1:13" ht="23.25">
      <c r="A84" s="1">
        <f>2336900+2322400+2374860+1997880+2250700+2229500+2219600+2213500</f>
        <v>17945340</v>
      </c>
      <c r="C84" s="1" t="str">
        <f t="shared" si="2"/>
        <v>17945340.0</v>
      </c>
      <c r="D84" s="2">
        <f t="shared" si="3"/>
        <v>17945340</v>
      </c>
      <c r="E84" s="3">
        <f t="shared" si="15"/>
        <v>0</v>
      </c>
      <c r="F84" s="7" t="s">
        <v>79</v>
      </c>
      <c r="G84" s="1">
        <v>2213500</v>
      </c>
      <c r="H84" s="1" t="str">
        <f t="shared" si="14"/>
        <v>2213500.0</v>
      </c>
      <c r="I84" s="2">
        <f t="shared" si="4"/>
        <v>2213500</v>
      </c>
      <c r="J84" s="3">
        <f t="shared" si="16"/>
        <v>0</v>
      </c>
      <c r="M84" s="1"/>
    </row>
    <row r="85" spans="3:10" ht="23.25">
      <c r="C85" s="1" t="str">
        <f t="shared" si="2"/>
        <v>.0</v>
      </c>
      <c r="D85" s="2">
        <f t="shared" si="3"/>
        <v>0</v>
      </c>
      <c r="E85" s="3">
        <f t="shared" si="15"/>
        <v>0</v>
      </c>
      <c r="F85" s="7" t="s">
        <v>127</v>
      </c>
      <c r="H85" s="1" t="str">
        <f t="shared" si="14"/>
        <v>.0</v>
      </c>
      <c r="I85" s="2">
        <f t="shared" si="4"/>
        <v>0</v>
      </c>
      <c r="J85" s="3">
        <f aca="true" t="shared" si="17" ref="J85:J90">IF(G85-INT(G85)&lt;&gt;0,RIGHT(H85,2),)</f>
        <v>0</v>
      </c>
    </row>
    <row r="86" spans="1:10" ht="23.25">
      <c r="A86" s="1">
        <f>32200+6800+6000</f>
        <v>45000</v>
      </c>
      <c r="C86" s="1" t="str">
        <f>TEXT(A86,"#.#0")</f>
        <v>45000.0</v>
      </c>
      <c r="D86" s="2">
        <f t="shared" si="3"/>
        <v>45000</v>
      </c>
      <c r="E86" s="3">
        <f>IF(A86-INT(A86)&lt;&gt;0,RIGHT(C86,2),)</f>
        <v>0</v>
      </c>
      <c r="F86" s="7" t="s">
        <v>259</v>
      </c>
      <c r="H86" s="1" t="str">
        <f t="shared" si="14"/>
        <v>.0</v>
      </c>
      <c r="I86" s="2">
        <f t="shared" si="4"/>
        <v>0</v>
      </c>
      <c r="J86" s="3">
        <f t="shared" si="17"/>
        <v>0</v>
      </c>
    </row>
    <row r="87" spans="3:10" ht="23.25">
      <c r="C87" s="1" t="str">
        <f t="shared" si="2"/>
        <v>.0</v>
      </c>
      <c r="D87" s="2">
        <f t="shared" si="3"/>
        <v>0</v>
      </c>
      <c r="E87" s="3">
        <f t="shared" si="15"/>
        <v>0</v>
      </c>
      <c r="F87" s="7" t="s">
        <v>136</v>
      </c>
      <c r="H87" s="1" t="str">
        <f t="shared" si="14"/>
        <v>.0</v>
      </c>
      <c r="I87" s="2">
        <f t="shared" si="4"/>
        <v>0</v>
      </c>
      <c r="J87" s="3">
        <f t="shared" si="17"/>
        <v>0</v>
      </c>
    </row>
    <row r="88" spans="3:10" ht="23.25">
      <c r="C88" s="1" t="str">
        <f t="shared" si="2"/>
        <v>.0</v>
      </c>
      <c r="D88" s="2">
        <f t="shared" si="3"/>
        <v>0</v>
      </c>
      <c r="E88" s="3">
        <f t="shared" si="15"/>
        <v>0</v>
      </c>
      <c r="F88" s="7" t="s">
        <v>137</v>
      </c>
      <c r="H88" s="1" t="str">
        <f t="shared" si="14"/>
        <v>.0</v>
      </c>
      <c r="I88" s="2">
        <f t="shared" si="4"/>
        <v>0</v>
      </c>
      <c r="J88" s="3">
        <f t="shared" si="17"/>
        <v>0</v>
      </c>
    </row>
    <row r="89" spans="3:10" ht="23.25">
      <c r="C89" s="1" t="str">
        <f>TEXT(A89,"#.#0")</f>
        <v>.0</v>
      </c>
      <c r="D89" s="2">
        <f>INT(C89)</f>
        <v>0</v>
      </c>
      <c r="E89" s="3">
        <f t="shared" si="15"/>
        <v>0</v>
      </c>
      <c r="F89" s="7" t="s">
        <v>135</v>
      </c>
      <c r="H89" s="1" t="str">
        <f>TEXT(G89,"#.#0")</f>
        <v>.0</v>
      </c>
      <c r="I89" s="2">
        <f>INT(H89)</f>
        <v>0</v>
      </c>
      <c r="J89" s="3">
        <f t="shared" si="17"/>
        <v>0</v>
      </c>
    </row>
    <row r="90" spans="3:10" ht="23.25">
      <c r="C90" s="1" t="str">
        <f>TEXT(A90,"#.#0")</f>
        <v>.0</v>
      </c>
      <c r="D90" s="2">
        <f>INT(C90)</f>
        <v>0</v>
      </c>
      <c r="E90" s="3">
        <f>IF(A90-INT(A90)&lt;&gt;0,RIGHT(C90,2),)</f>
        <v>0</v>
      </c>
      <c r="F90" s="7" t="s">
        <v>131</v>
      </c>
      <c r="H90" s="1" t="str">
        <f>TEXT(G90,"#.#0")</f>
        <v>.0</v>
      </c>
      <c r="I90" s="2">
        <f>INT(H90)</f>
        <v>0</v>
      </c>
      <c r="J90" s="3">
        <f t="shared" si="17"/>
        <v>0</v>
      </c>
    </row>
    <row r="91" spans="1:10" ht="23.25">
      <c r="A91" s="1">
        <v>223200</v>
      </c>
      <c r="C91" s="1" t="str">
        <f t="shared" si="2"/>
        <v>223200.0</v>
      </c>
      <c r="D91" s="2">
        <f t="shared" si="3"/>
        <v>223200</v>
      </c>
      <c r="E91" s="3">
        <f t="shared" si="15"/>
        <v>0</v>
      </c>
      <c r="F91" s="7" t="s">
        <v>96</v>
      </c>
      <c r="H91" s="1" t="str">
        <f t="shared" si="14"/>
        <v>.0</v>
      </c>
      <c r="I91" s="2">
        <f t="shared" si="4"/>
        <v>0</v>
      </c>
      <c r="J91" s="3">
        <f t="shared" si="16"/>
        <v>0</v>
      </c>
    </row>
    <row r="92" spans="1:10" ht="23.25">
      <c r="A92" s="1">
        <f>1935000+219500+1663750.8+3780413.32</f>
        <v>7598664.119999999</v>
      </c>
      <c r="C92" s="1" t="str">
        <f t="shared" si="2"/>
        <v>7598664.12</v>
      </c>
      <c r="D92" s="2">
        <f t="shared" si="3"/>
        <v>7598664</v>
      </c>
      <c r="E92" s="3" t="str">
        <f t="shared" si="15"/>
        <v>12</v>
      </c>
      <c r="F92" s="7" t="s">
        <v>21</v>
      </c>
      <c r="G92" s="1">
        <v>0</v>
      </c>
      <c r="H92" s="1" t="str">
        <f t="shared" si="14"/>
        <v>.0</v>
      </c>
      <c r="I92" s="2">
        <f t="shared" si="4"/>
        <v>0</v>
      </c>
      <c r="J92" s="3">
        <f t="shared" si="16"/>
        <v>0</v>
      </c>
    </row>
    <row r="93" spans="1:10" ht="23.25">
      <c r="A93" s="1">
        <v>2917110.56</v>
      </c>
      <c r="C93" s="1" t="str">
        <f t="shared" si="2"/>
        <v>2917110.56</v>
      </c>
      <c r="D93" s="2">
        <f t="shared" si="3"/>
        <v>2917110</v>
      </c>
      <c r="E93" s="3" t="str">
        <f t="shared" si="15"/>
        <v>56</v>
      </c>
      <c r="F93" s="7" t="s">
        <v>247</v>
      </c>
      <c r="H93" s="1" t="str">
        <f t="shared" si="14"/>
        <v>.0</v>
      </c>
      <c r="I93" s="2">
        <f t="shared" si="4"/>
        <v>0</v>
      </c>
      <c r="J93" s="3">
        <f t="shared" si="16"/>
        <v>0</v>
      </c>
    </row>
    <row r="94" spans="3:10" ht="23.25">
      <c r="C94" s="1" t="str">
        <f t="shared" si="2"/>
        <v>.0</v>
      </c>
      <c r="D94" s="2">
        <f t="shared" si="3"/>
        <v>0</v>
      </c>
      <c r="E94" s="3">
        <f t="shared" si="15"/>
        <v>0</v>
      </c>
      <c r="F94" s="7" t="s">
        <v>87</v>
      </c>
      <c r="H94" s="1" t="str">
        <f t="shared" si="14"/>
        <v>.0</v>
      </c>
      <c r="I94" s="2">
        <f t="shared" si="4"/>
        <v>0</v>
      </c>
      <c r="J94" s="3">
        <f>IF(G94-INT(G94)&lt;&gt;0,RIGHT(H94,2),)</f>
        <v>0</v>
      </c>
    </row>
    <row r="95" spans="1:11" ht="23.25">
      <c r="A95" s="1">
        <f>1020400.54+850666.27+1092729.53+1112291.14+2637327+2510247.5+1787354.41+1476007.17+959192.28+1966795.39</f>
        <v>15413011.23</v>
      </c>
      <c r="C95" s="1" t="str">
        <f t="shared" si="2"/>
        <v>15413011.23</v>
      </c>
      <c r="D95" s="2">
        <f t="shared" si="3"/>
        <v>15413011</v>
      </c>
      <c r="E95" s="3" t="str">
        <f t="shared" si="15"/>
        <v>23</v>
      </c>
      <c r="F95" s="7" t="s">
        <v>11</v>
      </c>
      <c r="G95" s="1">
        <v>959192.28</v>
      </c>
      <c r="H95" s="1" t="str">
        <f t="shared" si="14"/>
        <v>959192.28</v>
      </c>
      <c r="I95" s="2">
        <f t="shared" si="4"/>
        <v>959192</v>
      </c>
      <c r="J95" s="3" t="str">
        <f t="shared" si="16"/>
        <v>28</v>
      </c>
      <c r="K95" t="s">
        <v>363</v>
      </c>
    </row>
    <row r="96" spans="1:10" ht="23.25">
      <c r="A96" s="1">
        <f>480008.39+1932000+1477000+499000+553192.05</f>
        <v>4941200.44</v>
      </c>
      <c r="C96" s="1" t="str">
        <f t="shared" si="2"/>
        <v>4941200.44</v>
      </c>
      <c r="D96" s="2">
        <f t="shared" si="3"/>
        <v>4941200</v>
      </c>
      <c r="E96" s="3" t="str">
        <f t="shared" si="15"/>
        <v>44</v>
      </c>
      <c r="F96" s="7" t="s">
        <v>12</v>
      </c>
      <c r="G96" s="1">
        <v>553192.05</v>
      </c>
      <c r="H96" s="1" t="str">
        <f t="shared" si="14"/>
        <v>553192.05</v>
      </c>
      <c r="I96" s="2">
        <f t="shared" si="4"/>
        <v>553192</v>
      </c>
      <c r="J96" s="3" t="str">
        <f t="shared" si="16"/>
        <v>05</v>
      </c>
    </row>
    <row r="97" spans="1:10" ht="23.25">
      <c r="A97" s="1">
        <v>628338.81</v>
      </c>
      <c r="C97" s="1" t="str">
        <f t="shared" si="2"/>
        <v>628338.81</v>
      </c>
      <c r="D97" s="2">
        <f t="shared" si="3"/>
        <v>628338</v>
      </c>
      <c r="E97" s="3" t="str">
        <f t="shared" si="15"/>
        <v>81</v>
      </c>
      <c r="F97" s="7" t="s">
        <v>257</v>
      </c>
      <c r="H97" s="1" t="str">
        <f t="shared" si="14"/>
        <v>.0</v>
      </c>
      <c r="I97" s="2">
        <f t="shared" si="4"/>
        <v>0</v>
      </c>
      <c r="J97" s="3">
        <f t="shared" si="16"/>
        <v>0</v>
      </c>
    </row>
    <row r="98" spans="1:10" ht="23.25">
      <c r="A98" s="1">
        <v>125363</v>
      </c>
      <c r="C98" s="1" t="str">
        <f>TEXT(A98,"#.#0")</f>
        <v>125363.0</v>
      </c>
      <c r="D98" s="2">
        <f t="shared" si="3"/>
        <v>125363</v>
      </c>
      <c r="E98" s="3">
        <f>IF(A98-INT(A98)&lt;&gt;0,RIGHT(C98,2),)</f>
        <v>0</v>
      </c>
      <c r="F98" s="7" t="s">
        <v>188</v>
      </c>
      <c r="H98" s="1" t="str">
        <f t="shared" si="14"/>
        <v>.0</v>
      </c>
      <c r="I98" s="2">
        <f t="shared" si="4"/>
        <v>0</v>
      </c>
      <c r="J98" s="3">
        <f>IF(G98-INT(G98)&lt;&gt;0,RIGHT(H98,2),)</f>
        <v>0</v>
      </c>
    </row>
    <row r="99" spans="1:10" ht="23.25">
      <c r="A99" s="1">
        <v>1553000</v>
      </c>
      <c r="C99" s="1" t="str">
        <f t="shared" si="2"/>
        <v>1553000.0</v>
      </c>
      <c r="D99" s="2">
        <f t="shared" si="3"/>
        <v>1553000</v>
      </c>
      <c r="E99" s="3">
        <f t="shared" si="15"/>
        <v>0</v>
      </c>
      <c r="F99" s="7" t="s">
        <v>170</v>
      </c>
      <c r="H99" s="1" t="str">
        <f t="shared" si="14"/>
        <v>.0</v>
      </c>
      <c r="I99" s="2">
        <f t="shared" si="4"/>
        <v>0</v>
      </c>
      <c r="J99" s="3">
        <f t="shared" si="16"/>
        <v>0</v>
      </c>
    </row>
    <row r="100" spans="1:10" ht="23.25">
      <c r="A100" s="1">
        <v>43000</v>
      </c>
      <c r="C100" s="1" t="str">
        <f>TEXT(A100,"#.#0")</f>
        <v>43000.0</v>
      </c>
      <c r="D100" s="2">
        <f t="shared" si="3"/>
        <v>43000</v>
      </c>
      <c r="E100" s="3">
        <f>IF(A100-INT(A100)&lt;&gt;0,RIGHT(C100,2),)</f>
        <v>0</v>
      </c>
      <c r="F100" s="7" t="s">
        <v>199</v>
      </c>
      <c r="H100" s="1" t="str">
        <f t="shared" si="14"/>
        <v>.0</v>
      </c>
      <c r="I100" s="2">
        <f t="shared" si="4"/>
        <v>0</v>
      </c>
      <c r="J100" s="3">
        <f>IF(G100-INT(G100)&lt;&gt;0,RIGHT(H100,2),)</f>
        <v>0</v>
      </c>
    </row>
    <row r="101" spans="3:10" ht="23.25">
      <c r="C101" s="1" t="str">
        <f t="shared" si="2"/>
        <v>.0</v>
      </c>
      <c r="D101" s="2">
        <f t="shared" si="3"/>
        <v>0</v>
      </c>
      <c r="E101" s="3">
        <f t="shared" si="15"/>
        <v>0</v>
      </c>
      <c r="F101" s="7" t="s">
        <v>171</v>
      </c>
      <c r="H101" s="1" t="str">
        <f t="shared" si="14"/>
        <v>.0</v>
      </c>
      <c r="I101" s="2">
        <f t="shared" si="4"/>
        <v>0</v>
      </c>
      <c r="J101" s="3">
        <f t="shared" si="16"/>
        <v>0</v>
      </c>
    </row>
    <row r="102" spans="1:11" ht="23.25">
      <c r="A102" s="1">
        <f>3937800+1994800+3926400+5500+3815300+2100+3780100+1886200</f>
        <v>19348200</v>
      </c>
      <c r="C102" s="1" t="str">
        <f>TEXT(A102,"#.#0")</f>
        <v>19348200.0</v>
      </c>
      <c r="D102" s="2">
        <f t="shared" si="3"/>
        <v>19348200</v>
      </c>
      <c r="E102" s="3">
        <f>IF(A102-INT(A102)&lt;&gt;0,RIGHT(C102,2),)</f>
        <v>0</v>
      </c>
      <c r="F102" s="8" t="s">
        <v>278</v>
      </c>
      <c r="G102" s="1">
        <v>3780100</v>
      </c>
      <c r="H102" s="1" t="str">
        <f t="shared" si="14"/>
        <v>3780100.0</v>
      </c>
      <c r="I102" s="2">
        <f t="shared" si="4"/>
        <v>3780100</v>
      </c>
      <c r="J102" s="3">
        <f t="shared" si="16"/>
        <v>0</v>
      </c>
      <c r="K102" t="s">
        <v>362</v>
      </c>
    </row>
    <row r="103" spans="1:10" ht="23.25">
      <c r="A103" s="1">
        <f>647200+324000+638400+319200+304800+3200+608800+306400</f>
        <v>3152000</v>
      </c>
      <c r="C103" s="1" t="str">
        <f>TEXT(A103,"#.#0")</f>
        <v>3152000.0</v>
      </c>
      <c r="D103" s="2">
        <f t="shared" si="3"/>
        <v>3152000</v>
      </c>
      <c r="E103" s="3">
        <f>IF(A103-INT(A103)&lt;&gt;0,RIGHT(C103,2),)</f>
        <v>0</v>
      </c>
      <c r="F103" s="8" t="s">
        <v>279</v>
      </c>
      <c r="G103" s="1">
        <v>608800</v>
      </c>
      <c r="H103" s="1" t="str">
        <f t="shared" si="14"/>
        <v>608800.0</v>
      </c>
      <c r="I103" s="2">
        <f t="shared" si="4"/>
        <v>608800</v>
      </c>
      <c r="J103" s="3">
        <f>IF(G103-INT(G103)&lt;&gt;0,RIGHT(H103,2),)</f>
        <v>0</v>
      </c>
    </row>
    <row r="104" spans="1:10" ht="23.25">
      <c r="A104" s="1">
        <f>74760+37380+74760+108550+68710+68710+68710</f>
        <v>501580</v>
      </c>
      <c r="C104" s="1" t="str">
        <f t="shared" si="2"/>
        <v>501580.0</v>
      </c>
      <c r="D104" s="2">
        <f t="shared" si="3"/>
        <v>501580</v>
      </c>
      <c r="E104" s="3">
        <f t="shared" si="15"/>
        <v>0</v>
      </c>
      <c r="F104" s="8" t="s">
        <v>280</v>
      </c>
      <c r="G104" s="1">
        <v>68710</v>
      </c>
      <c r="H104" s="1" t="str">
        <f t="shared" si="14"/>
        <v>68710.0</v>
      </c>
      <c r="I104" s="2">
        <f t="shared" si="4"/>
        <v>68710</v>
      </c>
      <c r="J104" s="3">
        <f>IF(G104-INT(G104)&lt;&gt;0,RIGHT(H104,2),)</f>
        <v>0</v>
      </c>
    </row>
    <row r="105" spans="1:10" ht="23.25">
      <c r="A105" s="1">
        <f>75200+37600+54500+75200+37600+9400+9400+9400+9400</f>
        <v>317700</v>
      </c>
      <c r="C105" s="1" t="str">
        <f t="shared" si="2"/>
        <v>317700.0</v>
      </c>
      <c r="D105" s="2">
        <f t="shared" si="3"/>
        <v>317700</v>
      </c>
      <c r="E105" s="3">
        <f t="shared" si="15"/>
        <v>0</v>
      </c>
      <c r="F105" s="8" t="s">
        <v>281</v>
      </c>
      <c r="G105" s="1">
        <v>9400</v>
      </c>
      <c r="H105" s="1" t="str">
        <f t="shared" si="14"/>
        <v>9400.0</v>
      </c>
      <c r="I105" s="2">
        <f t="shared" si="4"/>
        <v>9400</v>
      </c>
      <c r="J105" s="3">
        <f>IF(G105-INT(G105)&lt;&gt;0,RIGHT(H105,2),)</f>
        <v>0</v>
      </c>
    </row>
    <row r="106" spans="1:10" ht="23.25">
      <c r="A106" s="1">
        <f>4560+2280+2725+2280+2280+2280+570+570+570</f>
        <v>18115</v>
      </c>
      <c r="C106" s="1" t="str">
        <f t="shared" si="2"/>
        <v>18115.0</v>
      </c>
      <c r="D106" s="2">
        <f t="shared" si="3"/>
        <v>18115</v>
      </c>
      <c r="E106" s="3">
        <f t="shared" si="15"/>
        <v>0</v>
      </c>
      <c r="F106" s="7" t="s">
        <v>282</v>
      </c>
      <c r="G106" s="1">
        <v>570</v>
      </c>
      <c r="H106" s="1" t="str">
        <f t="shared" si="14"/>
        <v>570.0</v>
      </c>
      <c r="I106" s="2">
        <f t="shared" si="4"/>
        <v>570</v>
      </c>
      <c r="J106" s="3">
        <f t="shared" si="16"/>
        <v>0</v>
      </c>
    </row>
    <row r="107" spans="1:10" ht="23.25">
      <c r="A107" s="1">
        <f>16000+8000+16000+8000+2000+2000+2000+2000</f>
        <v>56000</v>
      </c>
      <c r="C107" s="1" t="str">
        <f>TEXT(A107,"#.#0")</f>
        <v>56000.0</v>
      </c>
      <c r="D107" s="2">
        <f t="shared" si="3"/>
        <v>56000</v>
      </c>
      <c r="E107" s="3">
        <f>IF(A107-INT(A107)&lt;&gt;0,RIGHT(C107,2),)</f>
        <v>0</v>
      </c>
      <c r="F107" s="7" t="s">
        <v>285</v>
      </c>
      <c r="G107" s="1">
        <v>2000</v>
      </c>
      <c r="H107" s="1" t="str">
        <f t="shared" si="14"/>
        <v>2000.0</v>
      </c>
      <c r="I107" s="2">
        <f t="shared" si="4"/>
        <v>2000</v>
      </c>
      <c r="J107" s="3">
        <f>IF(G107-INT(G107)&lt;&gt;0,RIGHT(H107,2),)</f>
        <v>0</v>
      </c>
    </row>
    <row r="108" spans="1:10" ht="23.25">
      <c r="A108" s="1">
        <v>23024</v>
      </c>
      <c r="C108" s="1" t="str">
        <f aca="true" t="shared" si="18" ref="C108:C122">TEXT(A108,"#.#0")</f>
        <v>23024.0</v>
      </c>
      <c r="D108" s="2">
        <f aca="true" t="shared" si="19" ref="D108:D125">INT(C108)</f>
        <v>23024</v>
      </c>
      <c r="E108" s="3">
        <f aca="true" t="shared" si="20" ref="E108:E136">IF(A108-INT(A108)&lt;&gt;0,RIGHT(C108,2),)</f>
        <v>0</v>
      </c>
      <c r="F108" s="7" t="s">
        <v>307</v>
      </c>
      <c r="H108" s="1" t="str">
        <f aca="true" t="shared" si="21" ref="H108:H125">TEXT(G108,"#.#0")</f>
        <v>.0</v>
      </c>
      <c r="I108" s="2">
        <f aca="true" t="shared" si="22" ref="I108:I125">INT(H108)</f>
        <v>0</v>
      </c>
      <c r="J108" s="3">
        <f aca="true" t="shared" si="23" ref="J108:J118">IF(G108-INT(G108)&lt;&gt;0,RIGHT(H108,2),)</f>
        <v>0</v>
      </c>
    </row>
    <row r="109" spans="1:10" ht="23.25">
      <c r="A109" s="1">
        <v>460477.44</v>
      </c>
      <c r="C109" s="1" t="str">
        <f>TEXT(A109,"#.#0")</f>
        <v>460477.44</v>
      </c>
      <c r="D109" s="2">
        <f t="shared" si="19"/>
        <v>460477</v>
      </c>
      <c r="E109" s="3" t="str">
        <f>IF(A109-INT(A109)&lt;&gt;0,RIGHT(C109,2),)</f>
        <v>44</v>
      </c>
      <c r="F109" s="7" t="s">
        <v>173</v>
      </c>
      <c r="H109" s="1" t="str">
        <f t="shared" si="21"/>
        <v>.0</v>
      </c>
      <c r="I109" s="2">
        <f t="shared" si="22"/>
        <v>0</v>
      </c>
      <c r="J109" s="3">
        <f>IF(G109-INT(G109)&lt;&gt;0,RIGHT(H109,2),)</f>
        <v>0</v>
      </c>
    </row>
    <row r="110" spans="1:10" ht="23.25">
      <c r="A110" s="1">
        <v>6000</v>
      </c>
      <c r="C110" s="1" t="str">
        <f t="shared" si="18"/>
        <v>6000.0</v>
      </c>
      <c r="D110" s="2">
        <f t="shared" si="19"/>
        <v>6000</v>
      </c>
      <c r="E110" s="3">
        <f t="shared" si="20"/>
        <v>0</v>
      </c>
      <c r="F110" s="8" t="s">
        <v>175</v>
      </c>
      <c r="H110" s="1" t="str">
        <f t="shared" si="21"/>
        <v>.0</v>
      </c>
      <c r="I110" s="2">
        <f t="shared" si="22"/>
        <v>0</v>
      </c>
      <c r="J110" s="3">
        <f t="shared" si="23"/>
        <v>0</v>
      </c>
    </row>
    <row r="111" spans="1:10" ht="23.25">
      <c r="A111" s="1">
        <v>132620</v>
      </c>
      <c r="C111" s="1" t="str">
        <f t="shared" si="18"/>
        <v>132620.0</v>
      </c>
      <c r="D111" s="2">
        <f t="shared" si="19"/>
        <v>132620</v>
      </c>
      <c r="E111" s="3">
        <f t="shared" si="20"/>
        <v>0</v>
      </c>
      <c r="F111" s="8" t="s">
        <v>176</v>
      </c>
      <c r="H111" s="1" t="str">
        <f t="shared" si="21"/>
        <v>.0</v>
      </c>
      <c r="I111" s="2">
        <f t="shared" si="22"/>
        <v>0</v>
      </c>
      <c r="J111" s="3">
        <f t="shared" si="23"/>
        <v>0</v>
      </c>
    </row>
    <row r="112" spans="1:10" ht="23.25">
      <c r="A112" s="1">
        <v>11876</v>
      </c>
      <c r="C112" s="1" t="str">
        <f>TEXT(A112,"#.#0")</f>
        <v>11876.0</v>
      </c>
      <c r="D112" s="2">
        <f>INT(C112)</f>
        <v>11876</v>
      </c>
      <c r="E112" s="3">
        <f>IF(A112-INT(A112)&lt;&gt;0,RIGHT(C112,2),)</f>
        <v>0</v>
      </c>
      <c r="F112" s="8" t="s">
        <v>216</v>
      </c>
      <c r="H112" s="1" t="str">
        <f>TEXT(G112,"#.#0")</f>
        <v>.0</v>
      </c>
      <c r="I112" s="2">
        <f>INT(H112)</f>
        <v>0</v>
      </c>
      <c r="J112" s="3">
        <f>IF(G112-INT(G112)&lt;&gt;0,RIGHT(H112,2),)</f>
        <v>0</v>
      </c>
    </row>
    <row r="113" spans="1:10" ht="23.25">
      <c r="A113" s="1">
        <v>98122</v>
      </c>
      <c r="C113" s="1" t="str">
        <f t="shared" si="18"/>
        <v>98122.0</v>
      </c>
      <c r="D113" s="2">
        <f t="shared" si="19"/>
        <v>98122</v>
      </c>
      <c r="E113" s="3">
        <f t="shared" si="20"/>
        <v>0</v>
      </c>
      <c r="F113" s="8" t="s">
        <v>286</v>
      </c>
      <c r="H113" s="1" t="str">
        <f t="shared" si="21"/>
        <v>.0</v>
      </c>
      <c r="I113" s="2">
        <f t="shared" si="22"/>
        <v>0</v>
      </c>
      <c r="J113" s="3">
        <f t="shared" si="23"/>
        <v>0</v>
      </c>
    </row>
    <row r="114" spans="1:10" ht="23.25">
      <c r="A114" s="1">
        <v>6844</v>
      </c>
      <c r="C114" s="1" t="str">
        <f>TEXT(A114,"#.#0")</f>
        <v>6844.0</v>
      </c>
      <c r="D114" s="2">
        <f t="shared" si="19"/>
        <v>6844</v>
      </c>
      <c r="E114" s="3">
        <f>IF(A114-INT(A114)&lt;&gt;0,RIGHT(C114,2),)</f>
        <v>0</v>
      </c>
      <c r="F114" s="8" t="s">
        <v>222</v>
      </c>
      <c r="H114" s="1" t="str">
        <f t="shared" si="21"/>
        <v>.0</v>
      </c>
      <c r="I114" s="2">
        <f t="shared" si="22"/>
        <v>0</v>
      </c>
      <c r="J114" s="3">
        <f>IF(G114-INT(G114)&lt;&gt;0,RIGHT(H114,2),)</f>
        <v>0</v>
      </c>
    </row>
    <row r="115" spans="1:10" ht="23.25">
      <c r="A115" s="1">
        <v>28170</v>
      </c>
      <c r="C115" s="1" t="str">
        <f t="shared" si="18"/>
        <v>28170.0</v>
      </c>
      <c r="D115" s="2">
        <f t="shared" si="19"/>
        <v>28170</v>
      </c>
      <c r="E115" s="3">
        <f t="shared" si="20"/>
        <v>0</v>
      </c>
      <c r="F115" s="8" t="s">
        <v>178</v>
      </c>
      <c r="H115" s="1" t="str">
        <f t="shared" si="21"/>
        <v>.0</v>
      </c>
      <c r="I115" s="2">
        <f t="shared" si="22"/>
        <v>0</v>
      </c>
      <c r="J115" s="3">
        <f>IF(G115-INT(G115)&lt;&gt;0,RIGHT(H115,2),)</f>
        <v>0</v>
      </c>
    </row>
    <row r="116" spans="1:10" ht="23.25">
      <c r="A116" s="1">
        <v>102722</v>
      </c>
      <c r="C116" s="1" t="str">
        <f t="shared" si="18"/>
        <v>102722.0</v>
      </c>
      <c r="D116" s="2">
        <f t="shared" si="19"/>
        <v>102722</v>
      </c>
      <c r="E116" s="3">
        <f t="shared" si="20"/>
        <v>0</v>
      </c>
      <c r="F116" s="8" t="s">
        <v>179</v>
      </c>
      <c r="H116" s="1" t="str">
        <f t="shared" si="21"/>
        <v>.0</v>
      </c>
      <c r="I116" s="2">
        <f t="shared" si="22"/>
        <v>0</v>
      </c>
      <c r="J116" s="3">
        <f>IF(G116-INT(G116)&lt;&gt;0,RIGHT(H116,2),)</f>
        <v>0</v>
      </c>
    </row>
    <row r="117" spans="1:10" ht="23.25">
      <c r="A117" s="1">
        <v>2854</v>
      </c>
      <c r="C117" s="1" t="str">
        <f>TEXT(A117,"#.#0")</f>
        <v>2854.0</v>
      </c>
      <c r="D117" s="2">
        <f t="shared" si="19"/>
        <v>2854</v>
      </c>
      <c r="E117" s="3">
        <f>IF(A117-INT(A117)&lt;&gt;0,RIGHT(C117,2),)</f>
        <v>0</v>
      </c>
      <c r="F117" s="8" t="s">
        <v>223</v>
      </c>
      <c r="H117" s="1" t="str">
        <f t="shared" si="21"/>
        <v>.0</v>
      </c>
      <c r="I117" s="2">
        <f t="shared" si="22"/>
        <v>0</v>
      </c>
      <c r="J117" s="3">
        <f>IF(G117-INT(G117)&lt;&gt;0,RIGHT(H117,2),)</f>
        <v>0</v>
      </c>
    </row>
    <row r="118" spans="1:10" ht="23.25">
      <c r="A118" s="1">
        <v>36000</v>
      </c>
      <c r="C118" s="1" t="str">
        <f t="shared" si="18"/>
        <v>36000.0</v>
      </c>
      <c r="D118" s="2">
        <f t="shared" si="19"/>
        <v>36000</v>
      </c>
      <c r="E118" s="3">
        <f t="shared" si="20"/>
        <v>0</v>
      </c>
      <c r="F118" s="8" t="s">
        <v>180</v>
      </c>
      <c r="H118" s="1" t="str">
        <f t="shared" si="21"/>
        <v>.0</v>
      </c>
      <c r="I118" s="2">
        <f t="shared" si="22"/>
        <v>0</v>
      </c>
      <c r="J118" s="3">
        <f t="shared" si="23"/>
        <v>0</v>
      </c>
    </row>
    <row r="119" spans="1:10" ht="23.25">
      <c r="A119" s="1">
        <v>75010</v>
      </c>
      <c r="C119" s="1" t="str">
        <f t="shared" si="18"/>
        <v>75010.0</v>
      </c>
      <c r="D119" s="2">
        <f t="shared" si="19"/>
        <v>75010</v>
      </c>
      <c r="E119" s="3">
        <f t="shared" si="20"/>
        <v>0</v>
      </c>
      <c r="F119" s="8" t="s">
        <v>193</v>
      </c>
      <c r="H119" s="1" t="str">
        <f t="shared" si="21"/>
        <v>.0</v>
      </c>
      <c r="I119" s="2">
        <f t="shared" si="22"/>
        <v>0</v>
      </c>
      <c r="J119" s="3">
        <f aca="true" t="shared" si="24" ref="J119:J125">IF(G119-INT(G119)&lt;&gt;0,RIGHT(H119,2),)</f>
        <v>0</v>
      </c>
    </row>
    <row r="120" spans="1:10" ht="23.25">
      <c r="A120" s="1">
        <v>72264</v>
      </c>
      <c r="C120" s="1" t="str">
        <f t="shared" si="18"/>
        <v>72264.0</v>
      </c>
      <c r="D120" s="2">
        <f t="shared" si="19"/>
        <v>72264</v>
      </c>
      <c r="E120" s="3">
        <f t="shared" si="20"/>
        <v>0</v>
      </c>
      <c r="F120" s="8" t="s">
        <v>198</v>
      </c>
      <c r="H120" s="1" t="str">
        <f t="shared" si="21"/>
        <v>.0</v>
      </c>
      <c r="I120" s="2">
        <f t="shared" si="22"/>
        <v>0</v>
      </c>
      <c r="J120" s="3">
        <f t="shared" si="24"/>
        <v>0</v>
      </c>
    </row>
    <row r="121" spans="1:10" ht="23.25">
      <c r="A121" s="1">
        <v>34200</v>
      </c>
      <c r="C121" s="1" t="str">
        <f t="shared" si="18"/>
        <v>34200.0</v>
      </c>
      <c r="D121" s="2">
        <f t="shared" si="19"/>
        <v>34200</v>
      </c>
      <c r="E121" s="3">
        <f t="shared" si="20"/>
        <v>0</v>
      </c>
      <c r="F121" s="8" t="s">
        <v>328</v>
      </c>
      <c r="H121" s="1" t="str">
        <f t="shared" si="21"/>
        <v>.0</v>
      </c>
      <c r="I121" s="2">
        <f t="shared" si="22"/>
        <v>0</v>
      </c>
      <c r="J121" s="3">
        <f t="shared" si="24"/>
        <v>0</v>
      </c>
    </row>
    <row r="122" spans="1:10" ht="23.25">
      <c r="A122" s="1">
        <v>1710</v>
      </c>
      <c r="C122" s="1" t="str">
        <f t="shared" si="18"/>
        <v>1710.0</v>
      </c>
      <c r="D122" s="2">
        <f t="shared" si="19"/>
        <v>1710</v>
      </c>
      <c r="E122" s="3">
        <f t="shared" si="20"/>
        <v>0</v>
      </c>
      <c r="F122" s="7" t="s">
        <v>329</v>
      </c>
      <c r="H122" s="1" t="str">
        <f t="shared" si="21"/>
        <v>.0</v>
      </c>
      <c r="I122" s="2">
        <f t="shared" si="22"/>
        <v>0</v>
      </c>
      <c r="J122" s="3">
        <f t="shared" si="24"/>
        <v>0</v>
      </c>
    </row>
    <row r="123" spans="3:10" ht="23.25">
      <c r="C123" s="1" t="str">
        <f>TEXT(A123,"#.#0")</f>
        <v>.0</v>
      </c>
      <c r="D123" s="2">
        <f t="shared" si="19"/>
        <v>0</v>
      </c>
      <c r="E123" s="3">
        <f>IF(A123-INT(A123)&lt;&gt;0,RIGHT(C123,2),)</f>
        <v>0</v>
      </c>
      <c r="F123" s="8" t="s">
        <v>184</v>
      </c>
      <c r="H123" s="1" t="str">
        <f t="shared" si="21"/>
        <v>.0</v>
      </c>
      <c r="I123" s="2">
        <f t="shared" si="22"/>
        <v>0</v>
      </c>
      <c r="J123" s="3">
        <f t="shared" si="24"/>
        <v>0</v>
      </c>
    </row>
    <row r="124" spans="1:10" ht="23.25">
      <c r="A124" s="1">
        <v>10500</v>
      </c>
      <c r="C124" s="1" t="str">
        <f>TEXT(A124,"#.#0")</f>
        <v>10500.0</v>
      </c>
      <c r="D124" s="2">
        <f t="shared" si="19"/>
        <v>10500</v>
      </c>
      <c r="E124" s="3">
        <f>IF(A124-INT(A124)&lt;&gt;0,RIGHT(C124,2),)</f>
        <v>0</v>
      </c>
      <c r="F124" s="8" t="s">
        <v>287</v>
      </c>
      <c r="H124" s="1" t="str">
        <f t="shared" si="21"/>
        <v>.0</v>
      </c>
      <c r="I124" s="2">
        <f t="shared" si="22"/>
        <v>0</v>
      </c>
      <c r="J124" s="3">
        <f>IF(G124-INT(G124)&lt;&gt;0,RIGHT(H124,2),)</f>
        <v>0</v>
      </c>
    </row>
    <row r="125" spans="1:10" ht="23.25">
      <c r="A125" s="1">
        <v>21000</v>
      </c>
      <c r="C125" s="1" t="str">
        <f>TEXT(A125,"#.#0")</f>
        <v>21000.0</v>
      </c>
      <c r="D125" s="2">
        <f t="shared" si="19"/>
        <v>21000</v>
      </c>
      <c r="E125" s="3">
        <f>IF(A125-INT(A125)&lt;&gt;0,RIGHT(C125,2),)</f>
        <v>0</v>
      </c>
      <c r="F125" s="8" t="s">
        <v>315</v>
      </c>
      <c r="H125" s="1" t="str">
        <f t="shared" si="21"/>
        <v>.0</v>
      </c>
      <c r="I125" s="2">
        <f t="shared" si="22"/>
        <v>0</v>
      </c>
      <c r="J125" s="3">
        <f t="shared" si="24"/>
        <v>0</v>
      </c>
    </row>
    <row r="126" spans="1:10" ht="23.25">
      <c r="A126" s="1">
        <v>14140</v>
      </c>
      <c r="C126" s="1" t="str">
        <f t="shared" si="2"/>
        <v>14140.0</v>
      </c>
      <c r="D126" s="2">
        <f t="shared" si="3"/>
        <v>14140</v>
      </c>
      <c r="E126" s="3">
        <f t="shared" si="20"/>
        <v>0</v>
      </c>
      <c r="F126" s="7" t="s">
        <v>210</v>
      </c>
      <c r="H126" s="1" t="str">
        <f t="shared" si="14"/>
        <v>.0</v>
      </c>
      <c r="I126" s="2">
        <f t="shared" si="4"/>
        <v>0</v>
      </c>
      <c r="J126" s="3">
        <f aca="true" t="shared" si="25" ref="J126:J136">IF(G126-INT(G126)&lt;&gt;0,RIGHT(H126,2),)</f>
        <v>0</v>
      </c>
    </row>
    <row r="127" spans="3:10" ht="23.25">
      <c r="C127" s="1" t="str">
        <f t="shared" si="2"/>
        <v>.0</v>
      </c>
      <c r="D127" s="2">
        <f t="shared" si="3"/>
        <v>0</v>
      </c>
      <c r="E127" s="3">
        <f t="shared" si="20"/>
        <v>0</v>
      </c>
      <c r="F127" s="7" t="s">
        <v>196</v>
      </c>
      <c r="H127" s="1" t="str">
        <f t="shared" si="14"/>
        <v>.0</v>
      </c>
      <c r="I127" s="2">
        <f t="shared" si="4"/>
        <v>0</v>
      </c>
      <c r="J127" s="3">
        <f t="shared" si="25"/>
        <v>0</v>
      </c>
    </row>
    <row r="128" spans="3:10" ht="23.25">
      <c r="C128" s="1" t="str">
        <f t="shared" si="2"/>
        <v>.0</v>
      </c>
      <c r="D128" s="2">
        <f t="shared" si="3"/>
        <v>0</v>
      </c>
      <c r="E128" s="3">
        <f t="shared" si="20"/>
        <v>0</v>
      </c>
      <c r="F128" s="7" t="s">
        <v>197</v>
      </c>
      <c r="H128" s="1" t="str">
        <f t="shared" si="14"/>
        <v>.0</v>
      </c>
      <c r="I128" s="2">
        <f t="shared" si="4"/>
        <v>0</v>
      </c>
      <c r="J128" s="3">
        <f t="shared" si="25"/>
        <v>0</v>
      </c>
    </row>
    <row r="129" spans="3:10" ht="23.25">
      <c r="C129" s="1" t="str">
        <f t="shared" si="2"/>
        <v>.0</v>
      </c>
      <c r="D129" s="2">
        <f t="shared" si="3"/>
        <v>0</v>
      </c>
      <c r="E129" s="3">
        <f t="shared" si="20"/>
        <v>0</v>
      </c>
      <c r="F129" s="7" t="s">
        <v>198</v>
      </c>
      <c r="H129" s="1" t="str">
        <f t="shared" si="14"/>
        <v>.0</v>
      </c>
      <c r="I129" s="2">
        <f t="shared" si="4"/>
        <v>0</v>
      </c>
      <c r="J129" s="3">
        <f t="shared" si="25"/>
        <v>0</v>
      </c>
    </row>
    <row r="130" spans="3:10" ht="23.25">
      <c r="C130" s="1" t="str">
        <f t="shared" si="2"/>
        <v>.0</v>
      </c>
      <c r="D130" s="2">
        <f t="shared" si="3"/>
        <v>0</v>
      </c>
      <c r="E130" s="3">
        <f t="shared" si="20"/>
        <v>0</v>
      </c>
      <c r="F130" s="7"/>
      <c r="H130" s="1" t="str">
        <f t="shared" si="14"/>
        <v>.0</v>
      </c>
      <c r="I130" s="2">
        <f t="shared" si="4"/>
        <v>0</v>
      </c>
      <c r="J130" s="3">
        <f t="shared" si="25"/>
        <v>0</v>
      </c>
    </row>
    <row r="131" spans="3:10" ht="23.25">
      <c r="C131" s="1" t="str">
        <f t="shared" si="2"/>
        <v>.0</v>
      </c>
      <c r="D131" s="2">
        <f t="shared" si="3"/>
        <v>0</v>
      </c>
      <c r="E131" s="3">
        <f t="shared" si="20"/>
        <v>0</v>
      </c>
      <c r="F131" s="7"/>
      <c r="H131" s="1" t="str">
        <f t="shared" si="14"/>
        <v>.0</v>
      </c>
      <c r="I131" s="2">
        <f t="shared" si="4"/>
        <v>0</v>
      </c>
      <c r="J131" s="3">
        <f t="shared" si="25"/>
        <v>0</v>
      </c>
    </row>
    <row r="132" spans="3:10" ht="23.25">
      <c r="C132" s="1" t="str">
        <f t="shared" si="2"/>
        <v>.0</v>
      </c>
      <c r="D132" s="2">
        <f t="shared" si="3"/>
        <v>0</v>
      </c>
      <c r="E132" s="3">
        <f t="shared" si="20"/>
        <v>0</v>
      </c>
      <c r="F132" s="7"/>
      <c r="H132" s="1" t="str">
        <f t="shared" si="14"/>
        <v>.0</v>
      </c>
      <c r="I132" s="2">
        <f t="shared" si="4"/>
        <v>0</v>
      </c>
      <c r="J132" s="3">
        <f t="shared" si="25"/>
        <v>0</v>
      </c>
    </row>
    <row r="133" spans="3:10" ht="23.25">
      <c r="C133" s="1" t="str">
        <f t="shared" si="2"/>
        <v>.0</v>
      </c>
      <c r="D133" s="2">
        <f t="shared" si="3"/>
        <v>0</v>
      </c>
      <c r="E133" s="3">
        <f t="shared" si="20"/>
        <v>0</v>
      </c>
      <c r="H133" s="1" t="str">
        <f t="shared" si="14"/>
        <v>.0</v>
      </c>
      <c r="I133" s="2">
        <f t="shared" si="4"/>
        <v>0</v>
      </c>
      <c r="J133" s="3">
        <f t="shared" si="25"/>
        <v>0</v>
      </c>
    </row>
    <row r="134" spans="1:12" ht="23.25">
      <c r="A134" s="1">
        <f>SUM(A69:A133)</f>
        <v>214666582.76000002</v>
      </c>
      <c r="C134" s="174" t="str">
        <f t="shared" si="2"/>
        <v>214666582.76</v>
      </c>
      <c r="D134" s="2">
        <f t="shared" si="3"/>
        <v>214666582</v>
      </c>
      <c r="E134" s="3" t="str">
        <f t="shared" si="20"/>
        <v>76</v>
      </c>
      <c r="F134" s="109" t="s">
        <v>23</v>
      </c>
      <c r="G134" s="1">
        <f>SUM(G69:G132)</f>
        <v>19493968.310000002</v>
      </c>
      <c r="H134" s="1" t="str">
        <f>TEXT(G134,"#.#0")</f>
        <v>19493968.31</v>
      </c>
      <c r="I134" s="2">
        <f t="shared" si="4"/>
        <v>19493968</v>
      </c>
      <c r="J134" s="3" t="str">
        <f t="shared" si="25"/>
        <v>31</v>
      </c>
      <c r="L134" s="1">
        <v>56793652.35</v>
      </c>
    </row>
    <row r="135" spans="1:10" ht="23.25">
      <c r="A135" s="1">
        <f>A67-A134</f>
        <v>-1293339.050000012</v>
      </c>
      <c r="C135" s="1" t="str">
        <f t="shared" si="2"/>
        <v>-1293339.05</v>
      </c>
      <c r="D135" s="2">
        <f>INT(C135)+1</f>
        <v>-1293339</v>
      </c>
      <c r="E135" s="3" t="str">
        <f t="shared" si="20"/>
        <v>05</v>
      </c>
      <c r="G135" s="1">
        <f>+G67-G134</f>
        <v>1911557.6900000013</v>
      </c>
      <c r="H135" s="1" t="str">
        <f>TEXT(G135,"#.#0")</f>
        <v>1911557.69</v>
      </c>
      <c r="I135" s="2">
        <f>INT(H135)</f>
        <v>1911557</v>
      </c>
      <c r="J135" s="3" t="str">
        <f t="shared" si="25"/>
        <v>69</v>
      </c>
    </row>
    <row r="136" spans="1:12" ht="23.25">
      <c r="A136" s="1">
        <f>A1+A135</f>
        <v>56799452.34999999</v>
      </c>
      <c r="C136" s="1" t="str">
        <f t="shared" si="2"/>
        <v>56799452.35</v>
      </c>
      <c r="D136" s="2">
        <f t="shared" si="3"/>
        <v>56799452</v>
      </c>
      <c r="E136" s="3" t="str">
        <f t="shared" si="20"/>
        <v>35</v>
      </c>
      <c r="G136" s="1">
        <f>G1+G135</f>
        <v>56793652.349999994</v>
      </c>
      <c r="H136" s="1" t="str">
        <f>TEXT(G136,"#.#0")</f>
        <v>56793652.35</v>
      </c>
      <c r="I136" s="2">
        <f t="shared" si="4"/>
        <v>56793652</v>
      </c>
      <c r="J136" s="3" t="str">
        <f t="shared" si="25"/>
        <v>35</v>
      </c>
      <c r="L136" s="1">
        <f>+L134-G136</f>
        <v>0</v>
      </c>
    </row>
    <row r="138" ht="21.75">
      <c r="L138" t="s">
        <v>331</v>
      </c>
    </row>
  </sheetData>
  <sheetProtection deleteColumns="0"/>
  <printOptions/>
  <pageMargins left="0.61" right="0.17" top="0.3" bottom="0.41" header="0.17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1"/>
  <sheetViews>
    <sheetView tabSelected="1" view="pageBreakPreview" zoomScaleSheetLayoutView="100" zoomScalePageLayoutView="0" workbookViewId="0" topLeftCell="A134">
      <selection activeCell="K141" sqref="K141"/>
    </sheetView>
  </sheetViews>
  <sheetFormatPr defaultColWidth="9.140625" defaultRowHeight="21.75"/>
  <cols>
    <col min="1" max="1" width="15.421875" style="24" customWidth="1"/>
    <col min="2" max="2" width="5.57421875" style="24" customWidth="1"/>
    <col min="3" max="3" width="15.00390625" style="24" customWidth="1"/>
    <col min="4" max="4" width="5.57421875" style="24" customWidth="1"/>
    <col min="5" max="5" width="46.421875" style="24" customWidth="1"/>
    <col min="6" max="6" width="8.00390625" style="24" customWidth="1"/>
    <col min="7" max="7" width="14.7109375" style="24" customWidth="1"/>
    <col min="8" max="8" width="5.57421875" style="24" customWidth="1"/>
    <col min="9" max="9" width="7.421875" style="24" customWidth="1"/>
    <col min="10" max="10" width="20.421875" style="61" customWidth="1"/>
    <col min="11" max="11" width="9.140625" style="24" customWidth="1"/>
    <col min="12" max="12" width="11.421875" style="24" customWidth="1"/>
    <col min="13" max="13" width="9.140625" style="24" customWidth="1"/>
    <col min="14" max="14" width="11.28125" style="24" customWidth="1"/>
    <col min="15" max="16384" width="9.140625" style="24" customWidth="1"/>
  </cols>
  <sheetData>
    <row r="1" spans="1:8" ht="22.5" customHeight="1">
      <c r="A1" s="10" t="s">
        <v>30</v>
      </c>
      <c r="B1" s="10"/>
      <c r="C1" s="10"/>
      <c r="D1" s="10"/>
      <c r="E1" s="10"/>
      <c r="F1" s="88" t="s">
        <v>348</v>
      </c>
      <c r="G1" s="10"/>
      <c r="H1" s="10"/>
    </row>
    <row r="2" spans="1:8" ht="22.5" customHeight="1">
      <c r="A2" s="190" t="s">
        <v>100</v>
      </c>
      <c r="B2" s="190"/>
      <c r="C2" s="190"/>
      <c r="D2" s="190"/>
      <c r="E2" s="190"/>
      <c r="F2" s="190"/>
      <c r="G2" s="190"/>
      <c r="H2" s="190"/>
    </row>
    <row r="3" spans="1:8" ht="22.5" customHeight="1" thickBot="1">
      <c r="A3" s="10"/>
      <c r="B3" s="89"/>
      <c r="C3" s="89"/>
      <c r="D3" s="89"/>
      <c r="E3" s="89"/>
      <c r="F3" s="10" t="s">
        <v>232</v>
      </c>
      <c r="G3" s="89"/>
      <c r="H3" s="89"/>
    </row>
    <row r="4" spans="1:8" ht="22.5" customHeight="1" thickTop="1">
      <c r="A4" s="191" t="s">
        <v>0</v>
      </c>
      <c r="B4" s="192"/>
      <c r="C4" s="192"/>
      <c r="D4" s="193"/>
      <c r="E4" s="200" t="s">
        <v>4</v>
      </c>
      <c r="F4" s="90" t="s">
        <v>5</v>
      </c>
      <c r="G4" s="203" t="s">
        <v>7</v>
      </c>
      <c r="H4" s="204"/>
    </row>
    <row r="5" spans="1:8" ht="22.5" customHeight="1">
      <c r="A5" s="178" t="s">
        <v>1</v>
      </c>
      <c r="B5" s="179"/>
      <c r="C5" s="188" t="s">
        <v>3</v>
      </c>
      <c r="D5" s="189"/>
      <c r="E5" s="201"/>
      <c r="F5" s="91" t="s">
        <v>6</v>
      </c>
      <c r="G5" s="178" t="s">
        <v>3</v>
      </c>
      <c r="H5" s="179"/>
    </row>
    <row r="6" spans="1:8" ht="22.5" customHeight="1" thickBot="1">
      <c r="A6" s="194" t="s">
        <v>2</v>
      </c>
      <c r="B6" s="195"/>
      <c r="C6" s="194" t="s">
        <v>2</v>
      </c>
      <c r="D6" s="195"/>
      <c r="E6" s="202"/>
      <c r="F6" s="92"/>
      <c r="G6" s="208" t="s">
        <v>2</v>
      </c>
      <c r="H6" s="209"/>
    </row>
    <row r="7" spans="1:8" ht="22.5" customHeight="1" thickTop="1">
      <c r="A7" s="25"/>
      <c r="B7" s="25"/>
      <c r="C7" s="26">
        <f>Sheet1!D1</f>
        <v>58092791</v>
      </c>
      <c r="D7" s="26" t="str">
        <f>Sheet1!E1</f>
        <v>40</v>
      </c>
      <c r="E7" s="25" t="s">
        <v>8</v>
      </c>
      <c r="F7" s="25"/>
      <c r="G7" s="27">
        <f>Sheet1!I1</f>
        <v>54882094</v>
      </c>
      <c r="H7" s="27" t="str">
        <f>Sheet1!J1</f>
        <v>66</v>
      </c>
    </row>
    <row r="8" spans="1:8" ht="22.5" customHeight="1">
      <c r="A8" s="28"/>
      <c r="B8" s="28"/>
      <c r="C8" s="29"/>
      <c r="D8" s="28"/>
      <c r="E8" s="107" t="s">
        <v>115</v>
      </c>
      <c r="F8" s="28"/>
      <c r="G8" s="28"/>
      <c r="H8" s="28"/>
    </row>
    <row r="9" spans="1:8" ht="22.5" customHeight="1">
      <c r="A9" s="29">
        <v>12700000</v>
      </c>
      <c r="B9" s="30" t="s">
        <v>114</v>
      </c>
      <c r="C9" s="29">
        <f>Sheet1!D2</f>
        <v>11752972</v>
      </c>
      <c r="D9" s="29" t="str">
        <f>Sheet1!E2</f>
        <v>48</v>
      </c>
      <c r="E9" s="28" t="s">
        <v>101</v>
      </c>
      <c r="F9" s="31" t="s">
        <v>33</v>
      </c>
      <c r="G9" s="29">
        <f>Sheet1!I2</f>
        <v>342561</v>
      </c>
      <c r="H9" s="29" t="str">
        <f>Sheet1!J2</f>
        <v>75</v>
      </c>
    </row>
    <row r="10" spans="1:8" ht="22.5" customHeight="1">
      <c r="A10" s="29">
        <v>4090000</v>
      </c>
      <c r="B10" s="30" t="s">
        <v>114</v>
      </c>
      <c r="C10" s="29">
        <f>Sheet1!D3</f>
        <v>3155721</v>
      </c>
      <c r="D10" s="29" t="str">
        <f>Sheet1!E3</f>
        <v>40</v>
      </c>
      <c r="E10" s="28" t="s">
        <v>102</v>
      </c>
      <c r="F10" s="31" t="s">
        <v>34</v>
      </c>
      <c r="G10" s="29">
        <f>Sheet1!I3</f>
        <v>315228</v>
      </c>
      <c r="H10" s="29">
        <f>Sheet1!J3</f>
        <v>0</v>
      </c>
    </row>
    <row r="11" spans="1:8" ht="22.5" customHeight="1">
      <c r="A11" s="29">
        <v>1200000</v>
      </c>
      <c r="B11" s="30" t="s">
        <v>114</v>
      </c>
      <c r="C11" s="29">
        <f>Sheet1!D4</f>
        <v>679657</v>
      </c>
      <c r="D11" s="29" t="str">
        <f>Sheet1!E4</f>
        <v>71</v>
      </c>
      <c r="E11" s="28" t="s">
        <v>103</v>
      </c>
      <c r="F11" s="31" t="s">
        <v>35</v>
      </c>
      <c r="G11" s="29">
        <f>Sheet1!I4</f>
        <v>169246</v>
      </c>
      <c r="H11" s="29" t="str">
        <f>Sheet1!J4</f>
        <v>03</v>
      </c>
    </row>
    <row r="12" spans="1:8" ht="22.5" customHeight="1">
      <c r="A12" s="29">
        <v>1110000</v>
      </c>
      <c r="B12" s="30" t="s">
        <v>114</v>
      </c>
      <c r="C12" s="29">
        <f>Sheet1!D5</f>
        <v>897241</v>
      </c>
      <c r="D12" s="29" t="str">
        <f>Sheet1!E5</f>
        <v>60</v>
      </c>
      <c r="E12" s="28" t="s">
        <v>104</v>
      </c>
      <c r="F12" s="31" t="s">
        <v>36</v>
      </c>
      <c r="G12" s="29">
        <f>Sheet1!I5</f>
        <v>16095</v>
      </c>
      <c r="H12" s="29">
        <f>Sheet1!J5</f>
        <v>0</v>
      </c>
    </row>
    <row r="13" spans="1:8" ht="22.5" customHeight="1">
      <c r="A13" s="29">
        <v>156900000</v>
      </c>
      <c r="B13" s="30" t="s">
        <v>114</v>
      </c>
      <c r="C13" s="29">
        <f>Sheet1!D6</f>
        <v>97899922</v>
      </c>
      <c r="D13" s="29" t="str">
        <f>Sheet1!E6</f>
        <v>53</v>
      </c>
      <c r="E13" s="28" t="s">
        <v>105</v>
      </c>
      <c r="F13" s="31" t="s">
        <v>37</v>
      </c>
      <c r="G13" s="29">
        <f>Sheet1!I6</f>
        <v>12088440</v>
      </c>
      <c r="H13" s="29" t="str">
        <f>Sheet1!J6</f>
        <v>96</v>
      </c>
    </row>
    <row r="14" spans="1:8" ht="22.5" customHeight="1">
      <c r="A14" s="29">
        <v>39000000</v>
      </c>
      <c r="B14" s="30" t="s">
        <v>114</v>
      </c>
      <c r="C14" s="29">
        <f>Sheet1!D7</f>
        <v>29794395</v>
      </c>
      <c r="D14" s="29">
        <f>Sheet1!E7</f>
        <v>0</v>
      </c>
      <c r="E14" s="28" t="s">
        <v>113</v>
      </c>
      <c r="F14" s="31" t="s">
        <v>44</v>
      </c>
      <c r="G14" s="29">
        <f>Sheet1!I7</f>
        <v>2012838</v>
      </c>
      <c r="H14" s="29">
        <f>Sheet1!J7</f>
        <v>0</v>
      </c>
    </row>
    <row r="15" spans="1:8" ht="22.5" customHeight="1">
      <c r="A15" s="28"/>
      <c r="B15" s="28"/>
      <c r="C15" s="29">
        <f>Sheet1!D8</f>
        <v>26556</v>
      </c>
      <c r="D15" s="29">
        <f>Sheet1!E8</f>
        <v>0</v>
      </c>
      <c r="E15" s="28" t="s">
        <v>50</v>
      </c>
      <c r="F15" s="31" t="s">
        <v>236</v>
      </c>
      <c r="G15" s="29">
        <f>Sheet1!I8</f>
        <v>0</v>
      </c>
      <c r="H15" s="29">
        <f>Sheet1!J8</f>
        <v>0</v>
      </c>
    </row>
    <row r="16" spans="1:8" ht="22.5" customHeight="1">
      <c r="A16" s="28"/>
      <c r="B16" s="28"/>
      <c r="C16" s="29">
        <f>Sheet1!D9</f>
        <v>0</v>
      </c>
      <c r="D16" s="29">
        <f>Sheet1!E9</f>
        <v>0</v>
      </c>
      <c r="E16" s="28" t="s">
        <v>106</v>
      </c>
      <c r="F16" s="31" t="s">
        <v>237</v>
      </c>
      <c r="G16" s="29">
        <f>Sheet1!I9</f>
        <v>0</v>
      </c>
      <c r="H16" s="29">
        <f>Sheet1!J9</f>
        <v>0</v>
      </c>
    </row>
    <row r="17" spans="1:8" ht="22.5" customHeight="1">
      <c r="A17" s="28"/>
      <c r="B17" s="28"/>
      <c r="C17" s="29">
        <f>Sheet1!D10</f>
        <v>135500</v>
      </c>
      <c r="D17" s="29">
        <f>Sheet1!E10</f>
        <v>0</v>
      </c>
      <c r="E17" s="28" t="s">
        <v>107</v>
      </c>
      <c r="F17" s="31" t="s">
        <v>238</v>
      </c>
      <c r="G17" s="29">
        <f>Sheet1!I10</f>
        <v>2000</v>
      </c>
      <c r="H17" s="29">
        <f>Sheet1!J10</f>
        <v>0</v>
      </c>
    </row>
    <row r="18" spans="1:8" ht="22.5" customHeight="1">
      <c r="A18" s="28"/>
      <c r="B18" s="28"/>
      <c r="C18" s="29">
        <f>Sheet1!D11</f>
        <v>6671718</v>
      </c>
      <c r="D18" s="29">
        <f>Sheet1!E11</f>
        <v>0</v>
      </c>
      <c r="E18" s="28" t="s">
        <v>108</v>
      </c>
      <c r="F18" s="31" t="s">
        <v>239</v>
      </c>
      <c r="G18" s="29">
        <v>0</v>
      </c>
      <c r="H18" s="29">
        <v>0</v>
      </c>
    </row>
    <row r="19" spans="1:8" ht="22.5" customHeight="1">
      <c r="A19" s="28"/>
      <c r="B19" s="28"/>
      <c r="C19" s="29">
        <f>Sheet1!D12</f>
        <v>17945340</v>
      </c>
      <c r="D19" s="29">
        <f>Sheet1!E12</f>
        <v>0</v>
      </c>
      <c r="E19" s="28" t="s">
        <v>109</v>
      </c>
      <c r="F19" s="31" t="s">
        <v>240</v>
      </c>
      <c r="G19" s="29">
        <v>0</v>
      </c>
      <c r="H19" s="29">
        <f>Sheet1!J12</f>
        <v>0</v>
      </c>
    </row>
    <row r="20" spans="1:8" ht="22.5" customHeight="1">
      <c r="A20" s="28"/>
      <c r="B20" s="28"/>
      <c r="C20" s="29">
        <f>Sheet1!D13</f>
        <v>45000</v>
      </c>
      <c r="D20" s="29">
        <f>Sheet1!E13</f>
        <v>0</v>
      </c>
      <c r="E20" s="28" t="s">
        <v>241</v>
      </c>
      <c r="F20" s="31" t="s">
        <v>242</v>
      </c>
      <c r="G20" s="29">
        <f>Sheet1!I13</f>
        <v>0</v>
      </c>
      <c r="H20" s="29">
        <f>Sheet1!J13</f>
        <v>0</v>
      </c>
    </row>
    <row r="21" spans="1:8" ht="22.5" customHeight="1" hidden="1">
      <c r="A21" s="28"/>
      <c r="B21" s="28"/>
      <c r="C21" s="29">
        <f>Sheet1!D14</f>
        <v>0</v>
      </c>
      <c r="D21" s="29">
        <f>Sheet1!E14</f>
        <v>0</v>
      </c>
      <c r="E21" s="28" t="s">
        <v>85</v>
      </c>
      <c r="F21" s="31" t="s">
        <v>86</v>
      </c>
      <c r="G21" s="29">
        <f>Sheet1!I14</f>
        <v>0</v>
      </c>
      <c r="H21" s="29">
        <f>Sheet1!J14</f>
        <v>0</v>
      </c>
    </row>
    <row r="22" spans="1:8" ht="22.5" customHeight="1">
      <c r="A22" s="28"/>
      <c r="B22" s="28"/>
      <c r="C22" s="29">
        <f>Sheet1!D15</f>
        <v>14952905</v>
      </c>
      <c r="D22" s="29" t="str">
        <f>Sheet1!E15</f>
        <v>10</v>
      </c>
      <c r="E22" s="28" t="s">
        <v>11</v>
      </c>
      <c r="F22" s="31" t="s">
        <v>243</v>
      </c>
      <c r="G22" s="29">
        <f>Sheet1!I15</f>
        <v>916699</v>
      </c>
      <c r="H22" s="29" t="str">
        <f>Sheet1!J15</f>
        <v>09</v>
      </c>
    </row>
    <row r="23" spans="1:8" ht="22.5" customHeight="1">
      <c r="A23" s="28"/>
      <c r="B23" s="28"/>
      <c r="C23" s="29">
        <f>Sheet1!D16</f>
        <v>277728</v>
      </c>
      <c r="D23" s="29">
        <f>Sheet1!E16</f>
        <v>0</v>
      </c>
      <c r="E23" s="33" t="s">
        <v>12</v>
      </c>
      <c r="F23" s="31" t="s">
        <v>110</v>
      </c>
      <c r="G23" s="29">
        <f>Sheet1!I16</f>
        <v>121600</v>
      </c>
      <c r="H23" s="29">
        <f>Sheet1!J16</f>
        <v>0</v>
      </c>
    </row>
    <row r="24" spans="1:8" ht="22.5" customHeight="1" hidden="1">
      <c r="A24" s="28"/>
      <c r="B24" s="28"/>
      <c r="C24" s="29">
        <f>Sheet1!D17</f>
        <v>0</v>
      </c>
      <c r="D24" s="29">
        <f>Sheet1!E17</f>
        <v>0</v>
      </c>
      <c r="E24" s="33" t="s">
        <v>160</v>
      </c>
      <c r="F24" s="31" t="s">
        <v>57</v>
      </c>
      <c r="G24" s="29">
        <f>Sheet1!I17</f>
        <v>0</v>
      </c>
      <c r="H24" s="29">
        <f>Sheet1!J17</f>
        <v>0</v>
      </c>
    </row>
    <row r="25" spans="1:8" ht="22.5" customHeight="1" hidden="1">
      <c r="A25" s="28"/>
      <c r="B25" s="28"/>
      <c r="C25" s="29">
        <f>Sheet1!D18</f>
        <v>0</v>
      </c>
      <c r="D25" s="29">
        <f>Sheet1!E18</f>
        <v>0</v>
      </c>
      <c r="E25" s="131" t="s">
        <v>188</v>
      </c>
      <c r="F25" s="31"/>
      <c r="G25" s="29">
        <f>Sheet1!I18</f>
        <v>0</v>
      </c>
      <c r="H25" s="29">
        <f>Sheet1!J18</f>
        <v>0</v>
      </c>
    </row>
    <row r="26" spans="1:8" ht="22.5" customHeight="1">
      <c r="A26" s="28"/>
      <c r="B26" s="28"/>
      <c r="C26" s="29">
        <f>Sheet1!D19</f>
        <v>8400</v>
      </c>
      <c r="D26" s="29">
        <f>Sheet1!E19</f>
        <v>0</v>
      </c>
      <c r="E26" s="131" t="s">
        <v>170</v>
      </c>
      <c r="F26" s="31"/>
      <c r="G26" s="29">
        <f>Sheet1!I19</f>
        <v>0</v>
      </c>
      <c r="H26" s="29">
        <f>Sheet1!J19</f>
        <v>0</v>
      </c>
    </row>
    <row r="27" spans="1:8" ht="22.5" customHeight="1" hidden="1">
      <c r="A27" s="28"/>
      <c r="B27" s="28"/>
      <c r="C27" s="29">
        <f>Sheet1!D20</f>
        <v>0</v>
      </c>
      <c r="D27" s="29">
        <f>Sheet1!E20</f>
        <v>0</v>
      </c>
      <c r="E27" s="131" t="s">
        <v>199</v>
      </c>
      <c r="F27" s="31"/>
      <c r="G27" s="29">
        <f>Sheet1!I20</f>
        <v>0</v>
      </c>
      <c r="H27" s="29">
        <f>Sheet1!J20</f>
        <v>0</v>
      </c>
    </row>
    <row r="28" spans="1:8" ht="22.5" customHeight="1" hidden="1">
      <c r="A28" s="28"/>
      <c r="B28" s="28"/>
      <c r="C28" s="29">
        <f>Sheet1!D21</f>
        <v>0</v>
      </c>
      <c r="D28" s="29">
        <f>Sheet1!E21</f>
        <v>0</v>
      </c>
      <c r="E28" s="131" t="s">
        <v>171</v>
      </c>
      <c r="F28" s="31"/>
      <c r="G28" s="29">
        <f>Sheet1!I21</f>
        <v>0</v>
      </c>
      <c r="H28" s="29">
        <f>Sheet1!J21</f>
        <v>0</v>
      </c>
    </row>
    <row r="29" spans="1:8" ht="22.5" customHeight="1">
      <c r="A29" s="28"/>
      <c r="B29" s="28"/>
      <c r="C29" s="29">
        <f>Sheet1!D22</f>
        <v>22922500</v>
      </c>
      <c r="D29" s="29">
        <f>Sheet1!E22</f>
        <v>0</v>
      </c>
      <c r="E29" s="130" t="s">
        <v>283</v>
      </c>
      <c r="F29" s="31" t="s">
        <v>219</v>
      </c>
      <c r="G29" s="29">
        <f>Sheet1!I22</f>
        <v>46000</v>
      </c>
      <c r="H29" s="29">
        <f>Sheet1!J22</f>
        <v>0</v>
      </c>
    </row>
    <row r="30" spans="1:8" ht="22.5" customHeight="1">
      <c r="A30" s="28"/>
      <c r="B30" s="28"/>
      <c r="C30" s="29">
        <f>Sheet1!D23</f>
        <v>3828000</v>
      </c>
      <c r="D30" s="29">
        <f>Sheet1!E23</f>
        <v>0</v>
      </c>
      <c r="E30" s="33" t="s">
        <v>284</v>
      </c>
      <c r="F30" s="31" t="s">
        <v>219</v>
      </c>
      <c r="G30" s="29">
        <f>Sheet1!I23</f>
        <v>136000</v>
      </c>
      <c r="H30" s="29">
        <f>Sheet1!J23</f>
        <v>0</v>
      </c>
    </row>
    <row r="31" spans="1:8" ht="22.5" customHeight="1">
      <c r="A31" s="28"/>
      <c r="B31" s="28"/>
      <c r="C31" s="29">
        <f>Sheet1!D24</f>
        <v>632870</v>
      </c>
      <c r="D31" s="29">
        <f>Sheet1!E24</f>
        <v>0</v>
      </c>
      <c r="E31" s="103" t="s">
        <v>280</v>
      </c>
      <c r="F31" s="31" t="s">
        <v>219</v>
      </c>
      <c r="G31" s="29">
        <f>Sheet1!I24</f>
        <v>182570</v>
      </c>
      <c r="H31" s="29">
        <f>Sheet1!J24</f>
        <v>0</v>
      </c>
    </row>
    <row r="32" spans="1:8" ht="22.5" customHeight="1">
      <c r="A32" s="28"/>
      <c r="B32" s="28"/>
      <c r="C32" s="29">
        <f>Sheet1!D25</f>
        <v>428900</v>
      </c>
      <c r="D32" s="29">
        <f>Sheet1!E25</f>
        <v>0</v>
      </c>
      <c r="E32" s="103" t="s">
        <v>281</v>
      </c>
      <c r="F32" s="31" t="s">
        <v>219</v>
      </c>
      <c r="G32" s="29">
        <f>Sheet1!I25</f>
        <v>36000</v>
      </c>
      <c r="H32" s="29">
        <f>Sheet1!J25</f>
        <v>0</v>
      </c>
    </row>
    <row r="33" spans="1:8" ht="22.5" customHeight="1">
      <c r="A33" s="28"/>
      <c r="B33" s="28"/>
      <c r="C33" s="29">
        <f>Sheet1!D26</f>
        <v>26395</v>
      </c>
      <c r="D33" s="29">
        <f>Sheet1!E26</f>
        <v>0</v>
      </c>
      <c r="E33" s="103" t="s">
        <v>282</v>
      </c>
      <c r="F33" s="31" t="s">
        <v>219</v>
      </c>
      <c r="G33" s="29">
        <f>Sheet1!I26</f>
        <v>3150</v>
      </c>
      <c r="H33" s="29">
        <f>Sheet1!J26</f>
        <v>0</v>
      </c>
    </row>
    <row r="34" spans="1:8" ht="22.5" customHeight="1">
      <c r="A34" s="28"/>
      <c r="B34" s="28"/>
      <c r="C34" s="29">
        <f>Sheet1!D27</f>
        <v>78000</v>
      </c>
      <c r="D34" s="29">
        <f>Sheet1!E27</f>
        <v>0</v>
      </c>
      <c r="E34" s="141" t="s">
        <v>288</v>
      </c>
      <c r="F34" s="31" t="s">
        <v>219</v>
      </c>
      <c r="G34" s="29">
        <f>Sheet1!I27</f>
        <v>6000</v>
      </c>
      <c r="H34" s="29">
        <f>Sheet1!J27</f>
        <v>0</v>
      </c>
    </row>
    <row r="35" spans="1:8" ht="22.5" customHeight="1">
      <c r="A35" s="28"/>
      <c r="B35" s="28"/>
      <c r="C35" s="29">
        <f>Sheet1!D28</f>
        <v>14237</v>
      </c>
      <c r="D35" s="29">
        <f>Sheet1!E28</f>
        <v>0</v>
      </c>
      <c r="E35" s="103" t="s">
        <v>174</v>
      </c>
      <c r="F35" s="31" t="s">
        <v>219</v>
      </c>
      <c r="G35" s="29">
        <f>Sheet1!I28</f>
        <v>0</v>
      </c>
      <c r="H35" s="29">
        <f>Sheet1!J28</f>
        <v>0</v>
      </c>
    </row>
    <row r="36" spans="1:8" ht="22.5" customHeight="1">
      <c r="A36" s="28"/>
      <c r="B36" s="28"/>
      <c r="C36" s="29">
        <f>Sheet1!D29</f>
        <v>284738</v>
      </c>
      <c r="D36" s="29" t="str">
        <f>Sheet1!E29</f>
        <v>72</v>
      </c>
      <c r="E36" s="103" t="s">
        <v>306</v>
      </c>
      <c r="F36" s="31" t="s">
        <v>219</v>
      </c>
      <c r="G36" s="29">
        <f>Sheet1!I29</f>
        <v>0</v>
      </c>
      <c r="H36" s="29">
        <f>Sheet1!J29</f>
        <v>0</v>
      </c>
    </row>
    <row r="37" spans="1:8" ht="22.5" customHeight="1">
      <c r="A37" s="28"/>
      <c r="B37" s="28"/>
      <c r="C37" s="29">
        <f>Sheet1!D30</f>
        <v>3000</v>
      </c>
      <c r="D37" s="29">
        <f>Sheet1!E30</f>
        <v>0</v>
      </c>
      <c r="E37" s="103" t="s">
        <v>175</v>
      </c>
      <c r="F37" s="31" t="s">
        <v>219</v>
      </c>
      <c r="G37" s="29">
        <f>Sheet1!I30</f>
        <v>0</v>
      </c>
      <c r="H37" s="29">
        <f>Sheet1!J30</f>
        <v>0</v>
      </c>
    </row>
    <row r="38" spans="1:8" ht="22.5" customHeight="1">
      <c r="A38" s="28"/>
      <c r="B38" s="28"/>
      <c r="C38" s="29">
        <f>Sheet1!D31</f>
        <v>66310</v>
      </c>
      <c r="D38" s="29">
        <f>Sheet1!E31</f>
        <v>0</v>
      </c>
      <c r="E38" s="103" t="s">
        <v>176</v>
      </c>
      <c r="F38" s="31" t="s">
        <v>219</v>
      </c>
      <c r="G38" s="29">
        <f>Sheet1!I31</f>
        <v>0</v>
      </c>
      <c r="H38" s="29">
        <f>Sheet1!J31</f>
        <v>0</v>
      </c>
    </row>
    <row r="39" spans="1:8" ht="22.5" customHeight="1">
      <c r="A39" s="28"/>
      <c r="B39" s="28"/>
      <c r="C39" s="29">
        <f>Sheet1!D32</f>
        <v>5938</v>
      </c>
      <c r="D39" s="29">
        <f>Sheet1!E32</f>
        <v>0</v>
      </c>
      <c r="E39" s="103" t="s">
        <v>216</v>
      </c>
      <c r="F39" s="31" t="s">
        <v>219</v>
      </c>
      <c r="G39" s="29">
        <f>Sheet1!I32</f>
        <v>0</v>
      </c>
      <c r="H39" s="29">
        <f>Sheet1!J32</f>
        <v>0</v>
      </c>
    </row>
    <row r="40" spans="1:8" ht="22.5" customHeight="1">
      <c r="A40" s="28"/>
      <c r="B40" s="28"/>
      <c r="C40" s="29">
        <f>Sheet1!D33</f>
        <v>49061</v>
      </c>
      <c r="D40" s="29">
        <f>Sheet1!E33</f>
        <v>0</v>
      </c>
      <c r="E40" s="103" t="s">
        <v>177</v>
      </c>
      <c r="F40" s="31" t="s">
        <v>219</v>
      </c>
      <c r="G40" s="29">
        <f>Sheet1!I33</f>
        <v>0</v>
      </c>
      <c r="H40" s="29">
        <f>Sheet1!J33</f>
        <v>0</v>
      </c>
    </row>
    <row r="41" spans="1:8" ht="22.5" customHeight="1">
      <c r="A41" s="28"/>
      <c r="B41" s="28"/>
      <c r="C41" s="29">
        <f>Sheet1!D34</f>
        <v>229500</v>
      </c>
      <c r="D41" s="29">
        <f>Sheet1!E34</f>
        <v>0</v>
      </c>
      <c r="E41" s="103" t="s">
        <v>286</v>
      </c>
      <c r="F41" s="31" t="s">
        <v>219</v>
      </c>
      <c r="G41" s="29">
        <f>Sheet1!I34</f>
        <v>135000</v>
      </c>
      <c r="H41" s="29">
        <f>Sheet1!J34</f>
        <v>0</v>
      </c>
    </row>
    <row r="42" spans="1:8" ht="22.5" customHeight="1">
      <c r="A42" s="28"/>
      <c r="B42" s="28"/>
      <c r="C42" s="29">
        <f>Sheet1!D35</f>
        <v>14085</v>
      </c>
      <c r="D42" s="29">
        <f>Sheet1!E35</f>
        <v>0</v>
      </c>
      <c r="E42" s="103" t="s">
        <v>178</v>
      </c>
      <c r="F42" s="31" t="s">
        <v>219</v>
      </c>
      <c r="G42" s="29">
        <f>Sheet1!I35</f>
        <v>0</v>
      </c>
      <c r="H42" s="29">
        <f>Sheet1!J35</f>
        <v>0</v>
      </c>
    </row>
    <row r="43" spans="1:8" ht="20.25" customHeight="1" thickBot="1">
      <c r="A43" s="212" t="s">
        <v>22</v>
      </c>
      <c r="B43" s="212"/>
      <c r="C43" s="212"/>
      <c r="D43" s="212"/>
      <c r="E43" s="212"/>
      <c r="F43" s="212"/>
      <c r="G43" s="212"/>
      <c r="H43" s="212"/>
    </row>
    <row r="44" spans="1:8" ht="21.75" customHeight="1" thickTop="1">
      <c r="A44" s="185" t="s">
        <v>0</v>
      </c>
      <c r="B44" s="186"/>
      <c r="C44" s="186"/>
      <c r="D44" s="187"/>
      <c r="E44" s="182" t="s">
        <v>4</v>
      </c>
      <c r="F44" s="134" t="s">
        <v>5</v>
      </c>
      <c r="G44" s="185" t="s">
        <v>7</v>
      </c>
      <c r="H44" s="187"/>
    </row>
    <row r="45" spans="1:8" ht="21.75" customHeight="1">
      <c r="A45" s="180" t="s">
        <v>1</v>
      </c>
      <c r="B45" s="181"/>
      <c r="C45" s="196" t="s">
        <v>3</v>
      </c>
      <c r="D45" s="197"/>
      <c r="E45" s="183"/>
      <c r="F45" s="41" t="s">
        <v>6</v>
      </c>
      <c r="G45" s="180" t="s">
        <v>3</v>
      </c>
      <c r="H45" s="181"/>
    </row>
    <row r="46" spans="1:8" ht="21.75" customHeight="1" thickBot="1">
      <c r="A46" s="198" t="s">
        <v>2</v>
      </c>
      <c r="B46" s="199"/>
      <c r="C46" s="198" t="s">
        <v>2</v>
      </c>
      <c r="D46" s="199"/>
      <c r="E46" s="184"/>
      <c r="F46" s="93"/>
      <c r="G46" s="176" t="s">
        <v>2</v>
      </c>
      <c r="H46" s="177"/>
    </row>
    <row r="47" spans="1:8" ht="22.5" customHeight="1" thickTop="1">
      <c r="A47" s="28"/>
      <c r="B47" s="28"/>
      <c r="C47" s="29">
        <f>Sheet1!D36</f>
        <v>3422</v>
      </c>
      <c r="D47" s="29">
        <f>Sheet1!E36</f>
        <v>0</v>
      </c>
      <c r="E47" s="103" t="s">
        <v>217</v>
      </c>
      <c r="F47" s="31" t="s">
        <v>219</v>
      </c>
      <c r="G47" s="29">
        <f>Sheet1!I36</f>
        <v>0</v>
      </c>
      <c r="H47" s="29">
        <f>Sheet1!J36</f>
        <v>0</v>
      </c>
    </row>
    <row r="48" spans="1:8" ht="22.5" customHeight="1">
      <c r="A48" s="28"/>
      <c r="B48" s="28"/>
      <c r="C48" s="29">
        <f>Sheet1!D37</f>
        <v>51361</v>
      </c>
      <c r="D48" s="29">
        <f>Sheet1!E37</f>
        <v>0</v>
      </c>
      <c r="E48" s="103" t="s">
        <v>179</v>
      </c>
      <c r="F48" s="31" t="s">
        <v>219</v>
      </c>
      <c r="G48" s="29">
        <f>Sheet1!I37</f>
        <v>0</v>
      </c>
      <c r="H48" s="29">
        <f>Sheet1!J37</f>
        <v>0</v>
      </c>
    </row>
    <row r="49" spans="1:8" ht="22.5" customHeight="1">
      <c r="A49" s="28"/>
      <c r="B49" s="28"/>
      <c r="C49" s="29">
        <f>Sheet1!D38</f>
        <v>18000</v>
      </c>
      <c r="D49" s="29">
        <f>Sheet1!E38</f>
        <v>0</v>
      </c>
      <c r="E49" s="103" t="s">
        <v>180</v>
      </c>
      <c r="F49" s="31" t="s">
        <v>219</v>
      </c>
      <c r="G49" s="29">
        <f>Sheet1!I38</f>
        <v>0</v>
      </c>
      <c r="H49" s="29">
        <f>Sheet1!J38</f>
        <v>0</v>
      </c>
    </row>
    <row r="50" spans="1:8" ht="22.5" customHeight="1">
      <c r="A50" s="28"/>
      <c r="B50" s="28"/>
      <c r="C50" s="29">
        <f>Sheet1!D39</f>
        <v>1427</v>
      </c>
      <c r="D50" s="29">
        <f>Sheet1!E39</f>
        <v>0</v>
      </c>
      <c r="E50" s="103" t="s">
        <v>218</v>
      </c>
      <c r="F50" s="31" t="s">
        <v>219</v>
      </c>
      <c r="G50" s="29">
        <f>Sheet1!I39</f>
        <v>0</v>
      </c>
      <c r="H50" s="29">
        <f>Sheet1!J39</f>
        <v>0</v>
      </c>
    </row>
    <row r="51" spans="1:8" ht="22.5" customHeight="1">
      <c r="A51" s="28"/>
      <c r="B51" s="28"/>
      <c r="C51" s="29">
        <f>Sheet1!D40</f>
        <v>37505</v>
      </c>
      <c r="D51" s="29">
        <f>Sheet1!E40</f>
        <v>0</v>
      </c>
      <c r="E51" s="103" t="s">
        <v>193</v>
      </c>
      <c r="F51" s="31" t="s">
        <v>219</v>
      </c>
      <c r="G51" s="29">
        <f>Sheet1!I40</f>
        <v>0</v>
      </c>
      <c r="H51" s="29">
        <f>Sheet1!J40</f>
        <v>0</v>
      </c>
    </row>
    <row r="52" spans="1:8" ht="22.5" customHeight="1">
      <c r="A52" s="28"/>
      <c r="B52" s="28"/>
      <c r="C52" s="29">
        <f>Sheet1!D41</f>
        <v>36132</v>
      </c>
      <c r="D52" s="29">
        <f>Sheet1!E41</f>
        <v>0</v>
      </c>
      <c r="E52" s="103" t="s">
        <v>198</v>
      </c>
      <c r="F52" s="31" t="s">
        <v>219</v>
      </c>
      <c r="G52" s="29">
        <f>Sheet1!I41</f>
        <v>0</v>
      </c>
      <c r="H52" s="29">
        <f>Sheet1!J41</f>
        <v>0</v>
      </c>
    </row>
    <row r="53" spans="1:8" ht="22.5" customHeight="1">
      <c r="A53" s="28"/>
      <c r="B53" s="28"/>
      <c r="C53" s="29">
        <f>Sheet1!D42</f>
        <v>7070</v>
      </c>
      <c r="D53" s="29">
        <f>Sheet1!E42</f>
        <v>0</v>
      </c>
      <c r="E53" s="103" t="s">
        <v>210</v>
      </c>
      <c r="F53" s="31" t="s">
        <v>219</v>
      </c>
      <c r="G53" s="29">
        <f>Sheet1!I42</f>
        <v>0</v>
      </c>
      <c r="H53" s="29">
        <f>Sheet1!J42</f>
        <v>0</v>
      </c>
    </row>
    <row r="54" spans="1:8" ht="22.5" customHeight="1">
      <c r="A54" s="28"/>
      <c r="B54" s="28"/>
      <c r="C54" s="29">
        <f>Sheet1!D43</f>
        <v>8580</v>
      </c>
      <c r="D54" s="29">
        <f>Sheet1!E43</f>
        <v>0</v>
      </c>
      <c r="E54" s="103" t="s">
        <v>314</v>
      </c>
      <c r="F54" s="31" t="s">
        <v>219</v>
      </c>
      <c r="G54" s="29">
        <f>Sheet1!I43</f>
        <v>0</v>
      </c>
      <c r="H54" s="29">
        <f>Sheet1!J43</f>
        <v>0</v>
      </c>
    </row>
    <row r="55" spans="1:256" ht="22.5" customHeight="1" hidden="1">
      <c r="A55" s="28"/>
      <c r="B55" s="28"/>
      <c r="C55" s="29">
        <f>Sheet1!D44</f>
        <v>0</v>
      </c>
      <c r="D55" s="29">
        <f>Sheet1!E44</f>
        <v>0</v>
      </c>
      <c r="E55" s="103" t="s">
        <v>182</v>
      </c>
      <c r="F55" s="31" t="s">
        <v>219</v>
      </c>
      <c r="G55" s="29">
        <f>Sheet1!I44</f>
        <v>0</v>
      </c>
      <c r="H55" s="29">
        <f>Sheet1!J44</f>
        <v>0</v>
      </c>
      <c r="O55" s="24">
        <f>Sheet1!Q44</f>
        <v>0</v>
      </c>
      <c r="P55" s="24">
        <f>Sheet1!R44</f>
        <v>0</v>
      </c>
      <c r="S55" s="24">
        <f>Sheet1!T44</f>
        <v>0</v>
      </c>
      <c r="T55" s="24">
        <f>Sheet1!U44</f>
        <v>0</v>
      </c>
      <c r="U55" s="24" t="s">
        <v>149</v>
      </c>
      <c r="V55" s="24" t="s">
        <v>111</v>
      </c>
      <c r="W55" s="24">
        <f>Sheet1!Y44</f>
        <v>0</v>
      </c>
      <c r="X55" s="24">
        <f>Sheet1!Z44</f>
        <v>0</v>
      </c>
      <c r="AA55" s="24">
        <f>Sheet1!AB44</f>
        <v>0</v>
      </c>
      <c r="AB55" s="24">
        <f>Sheet1!AC44</f>
        <v>0</v>
      </c>
      <c r="AC55" s="24" t="s">
        <v>149</v>
      </c>
      <c r="AD55" s="24" t="s">
        <v>111</v>
      </c>
      <c r="AE55" s="24">
        <f>Sheet1!AG44</f>
        <v>0</v>
      </c>
      <c r="AF55" s="24">
        <f>Sheet1!AH44</f>
        <v>0</v>
      </c>
      <c r="AI55" s="24">
        <f>Sheet1!AJ44</f>
        <v>0</v>
      </c>
      <c r="AJ55" s="24">
        <f>Sheet1!AK44</f>
        <v>0</v>
      </c>
      <c r="AK55" s="24" t="s">
        <v>149</v>
      </c>
      <c r="AL55" s="24" t="s">
        <v>111</v>
      </c>
      <c r="AM55" s="24">
        <f>Sheet1!AO44</f>
        <v>0</v>
      </c>
      <c r="AN55" s="24">
        <f>Sheet1!AP44</f>
        <v>0</v>
      </c>
      <c r="AQ55" s="24">
        <f>Sheet1!AR44</f>
        <v>0</v>
      </c>
      <c r="AR55" s="24">
        <f>Sheet1!AS44</f>
        <v>0</v>
      </c>
      <c r="AS55" s="24" t="s">
        <v>149</v>
      </c>
      <c r="AT55" s="24" t="s">
        <v>111</v>
      </c>
      <c r="AU55" s="24">
        <f>Sheet1!AW44</f>
        <v>0</v>
      </c>
      <c r="AV55" s="24">
        <f>Sheet1!AX44</f>
        <v>0</v>
      </c>
      <c r="AY55" s="24">
        <f>Sheet1!AZ44</f>
        <v>0</v>
      </c>
      <c r="AZ55" s="24">
        <f>Sheet1!BA44</f>
        <v>0</v>
      </c>
      <c r="BA55" s="24" t="s">
        <v>149</v>
      </c>
      <c r="BB55" s="24" t="s">
        <v>111</v>
      </c>
      <c r="BC55" s="24">
        <f>Sheet1!BE44</f>
        <v>0</v>
      </c>
      <c r="BD55" s="24">
        <f>Sheet1!BF44</f>
        <v>0</v>
      </c>
      <c r="BG55" s="24">
        <f>Sheet1!BH44</f>
        <v>0</v>
      </c>
      <c r="BH55" s="24">
        <f>Sheet1!BI44</f>
        <v>0</v>
      </c>
      <c r="BI55" s="24" t="s">
        <v>149</v>
      </c>
      <c r="BJ55" s="24" t="s">
        <v>111</v>
      </c>
      <c r="BK55" s="24">
        <f>Sheet1!BM44</f>
        <v>0</v>
      </c>
      <c r="BL55" s="24">
        <f>Sheet1!BN44</f>
        <v>0</v>
      </c>
      <c r="BO55" s="24">
        <f>Sheet1!BP44</f>
        <v>0</v>
      </c>
      <c r="BP55" s="24">
        <f>Sheet1!BQ44</f>
        <v>0</v>
      </c>
      <c r="BQ55" s="24" t="s">
        <v>149</v>
      </c>
      <c r="BR55" s="24" t="s">
        <v>111</v>
      </c>
      <c r="BS55" s="24">
        <f>Sheet1!BU44</f>
        <v>0</v>
      </c>
      <c r="BT55" s="24">
        <f>Sheet1!BV44</f>
        <v>0</v>
      </c>
      <c r="BW55" s="24">
        <f>Sheet1!BX44</f>
        <v>0</v>
      </c>
      <c r="BX55" s="24">
        <f>Sheet1!BY44</f>
        <v>0</v>
      </c>
      <c r="BY55" s="24" t="s">
        <v>149</v>
      </c>
      <c r="BZ55" s="24" t="s">
        <v>111</v>
      </c>
      <c r="CA55" s="24">
        <f>Sheet1!CC44</f>
        <v>0</v>
      </c>
      <c r="CB55" s="24">
        <f>Sheet1!CD44</f>
        <v>0</v>
      </c>
      <c r="CE55" s="24">
        <f>Sheet1!CF44</f>
        <v>0</v>
      </c>
      <c r="CF55" s="24">
        <f>Sheet1!CG44</f>
        <v>0</v>
      </c>
      <c r="CG55" s="24" t="s">
        <v>149</v>
      </c>
      <c r="CH55" s="24" t="s">
        <v>111</v>
      </c>
      <c r="CI55" s="24">
        <f>Sheet1!CK44</f>
        <v>0</v>
      </c>
      <c r="CJ55" s="24">
        <f>Sheet1!CL44</f>
        <v>0</v>
      </c>
      <c r="CM55" s="24">
        <f>Sheet1!CN44</f>
        <v>0</v>
      </c>
      <c r="CN55" s="24">
        <f>Sheet1!CO44</f>
        <v>0</v>
      </c>
      <c r="CO55" s="24" t="s">
        <v>149</v>
      </c>
      <c r="CP55" s="24" t="s">
        <v>111</v>
      </c>
      <c r="CQ55" s="24">
        <f>Sheet1!CS44</f>
        <v>0</v>
      </c>
      <c r="CR55" s="24">
        <f>Sheet1!CT44</f>
        <v>0</v>
      </c>
      <c r="CU55" s="24">
        <f>Sheet1!CV44</f>
        <v>0</v>
      </c>
      <c r="CV55" s="24">
        <f>Sheet1!CW44</f>
        <v>0</v>
      </c>
      <c r="CW55" s="24" t="s">
        <v>149</v>
      </c>
      <c r="CX55" s="24" t="s">
        <v>111</v>
      </c>
      <c r="CY55" s="24">
        <f>Sheet1!DA44</f>
        <v>0</v>
      </c>
      <c r="CZ55" s="24">
        <f>Sheet1!DB44</f>
        <v>0</v>
      </c>
      <c r="DC55" s="24">
        <f>Sheet1!DD44</f>
        <v>0</v>
      </c>
      <c r="DD55" s="24">
        <f>Sheet1!DE44</f>
        <v>0</v>
      </c>
      <c r="DE55" s="24" t="s">
        <v>149</v>
      </c>
      <c r="DF55" s="24" t="s">
        <v>111</v>
      </c>
      <c r="DG55" s="24">
        <f>Sheet1!DI44</f>
        <v>0</v>
      </c>
      <c r="DH55" s="24">
        <f>Sheet1!DJ44</f>
        <v>0</v>
      </c>
      <c r="DK55" s="24">
        <f>Sheet1!DL44</f>
        <v>0</v>
      </c>
      <c r="DL55" s="24">
        <f>Sheet1!DM44</f>
        <v>0</v>
      </c>
      <c r="DM55" s="24" t="s">
        <v>149</v>
      </c>
      <c r="DN55" s="24" t="s">
        <v>111</v>
      </c>
      <c r="DO55" s="24">
        <f>Sheet1!DQ44</f>
        <v>0</v>
      </c>
      <c r="DP55" s="24">
        <f>Sheet1!DR44</f>
        <v>0</v>
      </c>
      <c r="DS55" s="24">
        <f>Sheet1!DT44</f>
        <v>0</v>
      </c>
      <c r="DT55" s="24">
        <f>Sheet1!DU44</f>
        <v>0</v>
      </c>
      <c r="DU55" s="24" t="s">
        <v>149</v>
      </c>
      <c r="DV55" s="24" t="s">
        <v>111</v>
      </c>
      <c r="DW55" s="24">
        <f>Sheet1!DY44</f>
        <v>0</v>
      </c>
      <c r="DX55" s="24">
        <f>Sheet1!DZ44</f>
        <v>0</v>
      </c>
      <c r="EA55" s="24">
        <f>Sheet1!EB44</f>
        <v>0</v>
      </c>
      <c r="EB55" s="24">
        <f>Sheet1!EC44</f>
        <v>0</v>
      </c>
      <c r="EC55" s="24" t="s">
        <v>149</v>
      </c>
      <c r="ED55" s="24" t="s">
        <v>111</v>
      </c>
      <c r="EE55" s="24">
        <f>Sheet1!EG44</f>
        <v>0</v>
      </c>
      <c r="EF55" s="24">
        <f>Sheet1!EH44</f>
        <v>0</v>
      </c>
      <c r="EI55" s="24">
        <f>Sheet1!EJ44</f>
        <v>0</v>
      </c>
      <c r="EJ55" s="24">
        <f>Sheet1!EK44</f>
        <v>0</v>
      </c>
      <c r="EK55" s="24" t="s">
        <v>149</v>
      </c>
      <c r="EL55" s="24" t="s">
        <v>111</v>
      </c>
      <c r="EM55" s="24">
        <f>Sheet1!EO44</f>
        <v>0</v>
      </c>
      <c r="EN55" s="24">
        <f>Sheet1!EP44</f>
        <v>0</v>
      </c>
      <c r="EQ55" s="24">
        <f>Sheet1!ER44</f>
        <v>0</v>
      </c>
      <c r="ER55" s="24">
        <f>Sheet1!ES44</f>
        <v>0</v>
      </c>
      <c r="ES55" s="24" t="s">
        <v>149</v>
      </c>
      <c r="ET55" s="24" t="s">
        <v>111</v>
      </c>
      <c r="EU55" s="24">
        <f>Sheet1!EW44</f>
        <v>0</v>
      </c>
      <c r="EV55" s="24">
        <f>Sheet1!EX44</f>
        <v>0</v>
      </c>
      <c r="EY55" s="24">
        <f>Sheet1!EZ44</f>
        <v>0</v>
      </c>
      <c r="EZ55" s="24">
        <f>Sheet1!FA44</f>
        <v>0</v>
      </c>
      <c r="FA55" s="24" t="s">
        <v>149</v>
      </c>
      <c r="FB55" s="24" t="s">
        <v>111</v>
      </c>
      <c r="FC55" s="24">
        <f>Sheet1!FE44</f>
        <v>0</v>
      </c>
      <c r="FD55" s="24">
        <f>Sheet1!FF44</f>
        <v>0</v>
      </c>
      <c r="FG55" s="24">
        <f>Sheet1!FH44</f>
        <v>0</v>
      </c>
      <c r="FH55" s="24">
        <f>Sheet1!FI44</f>
        <v>0</v>
      </c>
      <c r="FI55" s="24" t="s">
        <v>149</v>
      </c>
      <c r="FJ55" s="24" t="s">
        <v>111</v>
      </c>
      <c r="FK55" s="24">
        <f>Sheet1!FM44</f>
        <v>0</v>
      </c>
      <c r="FL55" s="24">
        <f>Sheet1!FN44</f>
        <v>0</v>
      </c>
      <c r="FO55" s="24">
        <f>Sheet1!FP44</f>
        <v>0</v>
      </c>
      <c r="FP55" s="24">
        <f>Sheet1!FQ44</f>
        <v>0</v>
      </c>
      <c r="FQ55" s="24" t="s">
        <v>149</v>
      </c>
      <c r="FR55" s="24" t="s">
        <v>111</v>
      </c>
      <c r="FS55" s="24">
        <f>Sheet1!FU44</f>
        <v>0</v>
      </c>
      <c r="FT55" s="24">
        <f>Sheet1!FV44</f>
        <v>0</v>
      </c>
      <c r="FW55" s="24">
        <f>Sheet1!FX44</f>
        <v>0</v>
      </c>
      <c r="FX55" s="24">
        <f>Sheet1!FY44</f>
        <v>0</v>
      </c>
      <c r="FY55" s="24" t="s">
        <v>149</v>
      </c>
      <c r="FZ55" s="24" t="s">
        <v>111</v>
      </c>
      <c r="GA55" s="24">
        <f>Sheet1!GC44</f>
        <v>0</v>
      </c>
      <c r="GB55" s="24">
        <f>Sheet1!GD44</f>
        <v>0</v>
      </c>
      <c r="GE55" s="24">
        <f>Sheet1!GF44</f>
        <v>0</v>
      </c>
      <c r="GF55" s="24">
        <f>Sheet1!GG44</f>
        <v>0</v>
      </c>
      <c r="GG55" s="24" t="s">
        <v>149</v>
      </c>
      <c r="GH55" s="24" t="s">
        <v>111</v>
      </c>
      <c r="GI55" s="24">
        <f>Sheet1!GK44</f>
        <v>0</v>
      </c>
      <c r="GJ55" s="24">
        <f>Sheet1!GL44</f>
        <v>0</v>
      </c>
      <c r="GM55" s="24">
        <f>Sheet1!GN44</f>
        <v>0</v>
      </c>
      <c r="GN55" s="24">
        <f>Sheet1!GO44</f>
        <v>0</v>
      </c>
      <c r="GO55" s="24" t="s">
        <v>149</v>
      </c>
      <c r="GP55" s="24" t="s">
        <v>111</v>
      </c>
      <c r="GQ55" s="24">
        <f>Sheet1!GS44</f>
        <v>0</v>
      </c>
      <c r="GR55" s="24">
        <f>Sheet1!GT44</f>
        <v>0</v>
      </c>
      <c r="GU55" s="24">
        <f>Sheet1!GV44</f>
        <v>0</v>
      </c>
      <c r="GV55" s="24">
        <f>Sheet1!GW44</f>
        <v>0</v>
      </c>
      <c r="GW55" s="24" t="s">
        <v>149</v>
      </c>
      <c r="GX55" s="24" t="s">
        <v>111</v>
      </c>
      <c r="GY55" s="24">
        <f>Sheet1!HA44</f>
        <v>0</v>
      </c>
      <c r="GZ55" s="24">
        <f>Sheet1!HB44</f>
        <v>0</v>
      </c>
      <c r="HC55" s="24">
        <f>Sheet1!HD44</f>
        <v>0</v>
      </c>
      <c r="HD55" s="24">
        <f>Sheet1!HE44</f>
        <v>0</v>
      </c>
      <c r="HE55" s="24" t="s">
        <v>149</v>
      </c>
      <c r="HF55" s="24" t="s">
        <v>111</v>
      </c>
      <c r="HG55" s="24">
        <f>Sheet1!HI44</f>
        <v>0</v>
      </c>
      <c r="HH55" s="24">
        <f>Sheet1!HJ44</f>
        <v>0</v>
      </c>
      <c r="HK55" s="24">
        <f>Sheet1!HL44</f>
        <v>0</v>
      </c>
      <c r="HL55" s="24">
        <f>Sheet1!HM44</f>
        <v>0</v>
      </c>
      <c r="HM55" s="24" t="s">
        <v>149</v>
      </c>
      <c r="HN55" s="24" t="s">
        <v>111</v>
      </c>
      <c r="HO55" s="24">
        <f>Sheet1!HQ44</f>
        <v>0</v>
      </c>
      <c r="HP55" s="24">
        <f>Sheet1!HR44</f>
        <v>0</v>
      </c>
      <c r="HS55" s="24">
        <f>Sheet1!HT44</f>
        <v>0</v>
      </c>
      <c r="HT55" s="24">
        <f>Sheet1!HU44</f>
        <v>0</v>
      </c>
      <c r="HU55" s="24" t="s">
        <v>149</v>
      </c>
      <c r="HV55" s="24" t="s">
        <v>111</v>
      </c>
      <c r="HW55" s="24">
        <f>Sheet1!HY44</f>
        <v>0</v>
      </c>
      <c r="HX55" s="24">
        <f>Sheet1!HZ44</f>
        <v>0</v>
      </c>
      <c r="IA55" s="24">
        <f>Sheet1!IB44</f>
        <v>0</v>
      </c>
      <c r="IB55" s="24">
        <f>Sheet1!IC44</f>
        <v>0</v>
      </c>
      <c r="IC55" s="24" t="s">
        <v>149</v>
      </c>
      <c r="ID55" s="24" t="s">
        <v>111</v>
      </c>
      <c r="IE55" s="24">
        <f>Sheet1!IG44</f>
        <v>0</v>
      </c>
      <c r="IF55" s="24">
        <f>Sheet1!IH44</f>
        <v>0</v>
      </c>
      <c r="II55" s="24">
        <f>Sheet1!IJ44</f>
        <v>0</v>
      </c>
      <c r="IJ55" s="24">
        <f>Sheet1!IK44</f>
        <v>0</v>
      </c>
      <c r="IK55" s="24" t="s">
        <v>149</v>
      </c>
      <c r="IL55" s="24" t="s">
        <v>111</v>
      </c>
      <c r="IM55" s="24">
        <f>Sheet1!IO44</f>
        <v>0</v>
      </c>
      <c r="IN55" s="24">
        <f>Sheet1!IP44</f>
        <v>0</v>
      </c>
      <c r="IQ55" s="24">
        <f>Sheet1!IR44</f>
        <v>0</v>
      </c>
      <c r="IR55" s="24">
        <f>Sheet1!IS44</f>
        <v>0</v>
      </c>
      <c r="IS55" s="24" t="s">
        <v>149</v>
      </c>
      <c r="IT55" s="24" t="s">
        <v>111</v>
      </c>
      <c r="IU55" s="24" t="e">
        <f>Sheet1!#REF!</f>
        <v>#REF!</v>
      </c>
      <c r="IV55" s="24" t="e">
        <f>Sheet1!#REF!</f>
        <v>#REF!</v>
      </c>
    </row>
    <row r="56" spans="1:256" ht="22.5" customHeight="1" hidden="1">
      <c r="A56" s="28"/>
      <c r="B56" s="28"/>
      <c r="C56" s="29">
        <f>Sheet1!D45</f>
        <v>0</v>
      </c>
      <c r="D56" s="29">
        <f>Sheet1!E45</f>
        <v>0</v>
      </c>
      <c r="E56" s="103" t="s">
        <v>183</v>
      </c>
      <c r="F56" s="31" t="s">
        <v>219</v>
      </c>
      <c r="G56" s="29">
        <f>Sheet1!I45</f>
        <v>0</v>
      </c>
      <c r="H56" s="29">
        <f>Sheet1!J45</f>
        <v>0</v>
      </c>
      <c r="O56" s="24">
        <f>Sheet1!Q45</f>
        <v>0</v>
      </c>
      <c r="P56" s="24">
        <f>Sheet1!R45</f>
        <v>0</v>
      </c>
      <c r="S56" s="24">
        <f>Sheet1!T45</f>
        <v>0</v>
      </c>
      <c r="T56" s="24">
        <f>Sheet1!U45</f>
        <v>0</v>
      </c>
      <c r="U56" s="24" t="s">
        <v>149</v>
      </c>
      <c r="V56" s="24" t="s">
        <v>111</v>
      </c>
      <c r="W56" s="24">
        <f>Sheet1!Y45</f>
        <v>0</v>
      </c>
      <c r="X56" s="24">
        <f>Sheet1!Z45</f>
        <v>0</v>
      </c>
      <c r="AA56" s="24">
        <f>Sheet1!AB45</f>
        <v>0</v>
      </c>
      <c r="AB56" s="24">
        <f>Sheet1!AC45</f>
        <v>0</v>
      </c>
      <c r="AC56" s="24" t="s">
        <v>149</v>
      </c>
      <c r="AD56" s="24" t="s">
        <v>111</v>
      </c>
      <c r="AE56" s="24">
        <f>Sheet1!AG45</f>
        <v>0</v>
      </c>
      <c r="AF56" s="24">
        <f>Sheet1!AH45</f>
        <v>0</v>
      </c>
      <c r="AI56" s="24">
        <f>Sheet1!AJ45</f>
        <v>0</v>
      </c>
      <c r="AJ56" s="24">
        <f>Sheet1!AK45</f>
        <v>0</v>
      </c>
      <c r="AK56" s="24" t="s">
        <v>149</v>
      </c>
      <c r="AL56" s="24" t="s">
        <v>111</v>
      </c>
      <c r="AM56" s="24">
        <f>Sheet1!AO45</f>
        <v>0</v>
      </c>
      <c r="AN56" s="24">
        <f>Sheet1!AP45</f>
        <v>0</v>
      </c>
      <c r="AQ56" s="24">
        <f>Sheet1!AR45</f>
        <v>0</v>
      </c>
      <c r="AR56" s="24">
        <f>Sheet1!AS45</f>
        <v>0</v>
      </c>
      <c r="AS56" s="24" t="s">
        <v>149</v>
      </c>
      <c r="AT56" s="24" t="s">
        <v>111</v>
      </c>
      <c r="AU56" s="24">
        <f>Sheet1!AW45</f>
        <v>0</v>
      </c>
      <c r="AV56" s="24">
        <f>Sheet1!AX45</f>
        <v>0</v>
      </c>
      <c r="AY56" s="24">
        <f>Sheet1!AZ45</f>
        <v>0</v>
      </c>
      <c r="AZ56" s="24">
        <f>Sheet1!BA45</f>
        <v>0</v>
      </c>
      <c r="BA56" s="24" t="s">
        <v>149</v>
      </c>
      <c r="BB56" s="24" t="s">
        <v>111</v>
      </c>
      <c r="BC56" s="24">
        <f>Sheet1!BE45</f>
        <v>0</v>
      </c>
      <c r="BD56" s="24">
        <f>Sheet1!BF45</f>
        <v>0</v>
      </c>
      <c r="BG56" s="24">
        <f>Sheet1!BH45</f>
        <v>0</v>
      </c>
      <c r="BH56" s="24">
        <f>Sheet1!BI45</f>
        <v>0</v>
      </c>
      <c r="BI56" s="24" t="s">
        <v>149</v>
      </c>
      <c r="BJ56" s="24" t="s">
        <v>111</v>
      </c>
      <c r="BK56" s="24">
        <f>Sheet1!BM45</f>
        <v>0</v>
      </c>
      <c r="BL56" s="24">
        <f>Sheet1!BN45</f>
        <v>0</v>
      </c>
      <c r="BO56" s="24">
        <f>Sheet1!BP45</f>
        <v>0</v>
      </c>
      <c r="BP56" s="24">
        <f>Sheet1!BQ45</f>
        <v>0</v>
      </c>
      <c r="BQ56" s="24" t="s">
        <v>149</v>
      </c>
      <c r="BR56" s="24" t="s">
        <v>111</v>
      </c>
      <c r="BS56" s="24">
        <f>Sheet1!BU45</f>
        <v>0</v>
      </c>
      <c r="BT56" s="24">
        <f>Sheet1!BV45</f>
        <v>0</v>
      </c>
      <c r="BW56" s="24">
        <f>Sheet1!BX45</f>
        <v>0</v>
      </c>
      <c r="BX56" s="24">
        <f>Sheet1!BY45</f>
        <v>0</v>
      </c>
      <c r="BY56" s="24" t="s">
        <v>149</v>
      </c>
      <c r="BZ56" s="24" t="s">
        <v>111</v>
      </c>
      <c r="CA56" s="24">
        <f>Sheet1!CC45</f>
        <v>0</v>
      </c>
      <c r="CB56" s="24">
        <f>Sheet1!CD45</f>
        <v>0</v>
      </c>
      <c r="CE56" s="24">
        <f>Sheet1!CF45</f>
        <v>0</v>
      </c>
      <c r="CF56" s="24">
        <f>Sheet1!CG45</f>
        <v>0</v>
      </c>
      <c r="CG56" s="24" t="s">
        <v>149</v>
      </c>
      <c r="CH56" s="24" t="s">
        <v>111</v>
      </c>
      <c r="CI56" s="24">
        <f>Sheet1!CK45</f>
        <v>0</v>
      </c>
      <c r="CJ56" s="24">
        <f>Sheet1!CL45</f>
        <v>0</v>
      </c>
      <c r="CM56" s="24">
        <f>Sheet1!CN45</f>
        <v>0</v>
      </c>
      <c r="CN56" s="24">
        <f>Sheet1!CO45</f>
        <v>0</v>
      </c>
      <c r="CO56" s="24" t="s">
        <v>149</v>
      </c>
      <c r="CP56" s="24" t="s">
        <v>111</v>
      </c>
      <c r="CQ56" s="24">
        <f>Sheet1!CS45</f>
        <v>0</v>
      </c>
      <c r="CR56" s="24">
        <f>Sheet1!CT45</f>
        <v>0</v>
      </c>
      <c r="CU56" s="24">
        <f>Sheet1!CV45</f>
        <v>0</v>
      </c>
      <c r="CV56" s="24">
        <f>Sheet1!CW45</f>
        <v>0</v>
      </c>
      <c r="CW56" s="24" t="s">
        <v>149</v>
      </c>
      <c r="CX56" s="24" t="s">
        <v>111</v>
      </c>
      <c r="CY56" s="24">
        <f>Sheet1!DA45</f>
        <v>0</v>
      </c>
      <c r="CZ56" s="24">
        <f>Sheet1!DB45</f>
        <v>0</v>
      </c>
      <c r="DC56" s="24">
        <f>Sheet1!DD45</f>
        <v>0</v>
      </c>
      <c r="DD56" s="24">
        <f>Sheet1!DE45</f>
        <v>0</v>
      </c>
      <c r="DE56" s="24" t="s">
        <v>149</v>
      </c>
      <c r="DF56" s="24" t="s">
        <v>111</v>
      </c>
      <c r="DG56" s="24">
        <f>Sheet1!DI45</f>
        <v>0</v>
      </c>
      <c r="DH56" s="24">
        <f>Sheet1!DJ45</f>
        <v>0</v>
      </c>
      <c r="DK56" s="24">
        <f>Sheet1!DL45</f>
        <v>0</v>
      </c>
      <c r="DL56" s="24">
        <f>Sheet1!DM45</f>
        <v>0</v>
      </c>
      <c r="DM56" s="24" t="s">
        <v>149</v>
      </c>
      <c r="DN56" s="24" t="s">
        <v>111</v>
      </c>
      <c r="DO56" s="24">
        <f>Sheet1!DQ45</f>
        <v>0</v>
      </c>
      <c r="DP56" s="24">
        <f>Sheet1!DR45</f>
        <v>0</v>
      </c>
      <c r="DS56" s="24">
        <f>Sheet1!DT45</f>
        <v>0</v>
      </c>
      <c r="DT56" s="24">
        <f>Sheet1!DU45</f>
        <v>0</v>
      </c>
      <c r="DU56" s="24" t="s">
        <v>149</v>
      </c>
      <c r="DV56" s="24" t="s">
        <v>111</v>
      </c>
      <c r="DW56" s="24">
        <f>Sheet1!DY45</f>
        <v>0</v>
      </c>
      <c r="DX56" s="24">
        <f>Sheet1!DZ45</f>
        <v>0</v>
      </c>
      <c r="EA56" s="24">
        <f>Sheet1!EB45</f>
        <v>0</v>
      </c>
      <c r="EB56" s="24">
        <f>Sheet1!EC45</f>
        <v>0</v>
      </c>
      <c r="EC56" s="24" t="s">
        <v>149</v>
      </c>
      <c r="ED56" s="24" t="s">
        <v>111</v>
      </c>
      <c r="EE56" s="24">
        <f>Sheet1!EG45</f>
        <v>0</v>
      </c>
      <c r="EF56" s="24">
        <f>Sheet1!EH45</f>
        <v>0</v>
      </c>
      <c r="EI56" s="24">
        <f>Sheet1!EJ45</f>
        <v>0</v>
      </c>
      <c r="EJ56" s="24">
        <f>Sheet1!EK45</f>
        <v>0</v>
      </c>
      <c r="EK56" s="24" t="s">
        <v>149</v>
      </c>
      <c r="EL56" s="24" t="s">
        <v>111</v>
      </c>
      <c r="EM56" s="24">
        <f>Sheet1!EO45</f>
        <v>0</v>
      </c>
      <c r="EN56" s="24">
        <f>Sheet1!EP45</f>
        <v>0</v>
      </c>
      <c r="EQ56" s="24">
        <f>Sheet1!ER45</f>
        <v>0</v>
      </c>
      <c r="ER56" s="24">
        <f>Sheet1!ES45</f>
        <v>0</v>
      </c>
      <c r="ES56" s="24" t="s">
        <v>149</v>
      </c>
      <c r="ET56" s="24" t="s">
        <v>111</v>
      </c>
      <c r="EU56" s="24">
        <f>Sheet1!EW45</f>
        <v>0</v>
      </c>
      <c r="EV56" s="24">
        <f>Sheet1!EX45</f>
        <v>0</v>
      </c>
      <c r="EY56" s="24">
        <f>Sheet1!EZ45</f>
        <v>0</v>
      </c>
      <c r="EZ56" s="24">
        <f>Sheet1!FA45</f>
        <v>0</v>
      </c>
      <c r="FA56" s="24" t="s">
        <v>149</v>
      </c>
      <c r="FB56" s="24" t="s">
        <v>111</v>
      </c>
      <c r="FC56" s="24">
        <f>Sheet1!FE45</f>
        <v>0</v>
      </c>
      <c r="FD56" s="24">
        <f>Sheet1!FF45</f>
        <v>0</v>
      </c>
      <c r="FG56" s="24">
        <f>Sheet1!FH45</f>
        <v>0</v>
      </c>
      <c r="FH56" s="24">
        <f>Sheet1!FI45</f>
        <v>0</v>
      </c>
      <c r="FI56" s="24" t="s">
        <v>149</v>
      </c>
      <c r="FJ56" s="24" t="s">
        <v>111</v>
      </c>
      <c r="FK56" s="24">
        <f>Sheet1!FM45</f>
        <v>0</v>
      </c>
      <c r="FL56" s="24">
        <f>Sheet1!FN45</f>
        <v>0</v>
      </c>
      <c r="FO56" s="24">
        <f>Sheet1!FP45</f>
        <v>0</v>
      </c>
      <c r="FP56" s="24">
        <f>Sheet1!FQ45</f>
        <v>0</v>
      </c>
      <c r="FQ56" s="24" t="s">
        <v>149</v>
      </c>
      <c r="FR56" s="24" t="s">
        <v>111</v>
      </c>
      <c r="FS56" s="24">
        <f>Sheet1!FU45</f>
        <v>0</v>
      </c>
      <c r="FT56" s="24">
        <f>Sheet1!FV45</f>
        <v>0</v>
      </c>
      <c r="FW56" s="24">
        <f>Sheet1!FX45</f>
        <v>0</v>
      </c>
      <c r="FX56" s="24">
        <f>Sheet1!FY45</f>
        <v>0</v>
      </c>
      <c r="FY56" s="24" t="s">
        <v>149</v>
      </c>
      <c r="FZ56" s="24" t="s">
        <v>111</v>
      </c>
      <c r="GA56" s="24">
        <f>Sheet1!GC45</f>
        <v>0</v>
      </c>
      <c r="GB56" s="24">
        <f>Sheet1!GD45</f>
        <v>0</v>
      </c>
      <c r="GE56" s="24">
        <f>Sheet1!GF45</f>
        <v>0</v>
      </c>
      <c r="GF56" s="24">
        <f>Sheet1!GG45</f>
        <v>0</v>
      </c>
      <c r="GG56" s="24" t="s">
        <v>149</v>
      </c>
      <c r="GH56" s="24" t="s">
        <v>111</v>
      </c>
      <c r="GI56" s="24">
        <f>Sheet1!GK45</f>
        <v>0</v>
      </c>
      <c r="GJ56" s="24">
        <f>Sheet1!GL45</f>
        <v>0</v>
      </c>
      <c r="GM56" s="24">
        <f>Sheet1!GN45</f>
        <v>0</v>
      </c>
      <c r="GN56" s="24">
        <f>Sheet1!GO45</f>
        <v>0</v>
      </c>
      <c r="GO56" s="24" t="s">
        <v>149</v>
      </c>
      <c r="GP56" s="24" t="s">
        <v>111</v>
      </c>
      <c r="GQ56" s="24">
        <f>Sheet1!GS45</f>
        <v>0</v>
      </c>
      <c r="GR56" s="24">
        <f>Sheet1!GT45</f>
        <v>0</v>
      </c>
      <c r="GU56" s="24">
        <f>Sheet1!GV45</f>
        <v>0</v>
      </c>
      <c r="GV56" s="24">
        <f>Sheet1!GW45</f>
        <v>0</v>
      </c>
      <c r="GW56" s="24" t="s">
        <v>149</v>
      </c>
      <c r="GX56" s="24" t="s">
        <v>111</v>
      </c>
      <c r="GY56" s="24">
        <f>Sheet1!HA45</f>
        <v>0</v>
      </c>
      <c r="GZ56" s="24">
        <f>Sheet1!HB45</f>
        <v>0</v>
      </c>
      <c r="HC56" s="24">
        <f>Sheet1!HD45</f>
        <v>0</v>
      </c>
      <c r="HD56" s="24">
        <f>Sheet1!HE45</f>
        <v>0</v>
      </c>
      <c r="HE56" s="24" t="s">
        <v>149</v>
      </c>
      <c r="HF56" s="24" t="s">
        <v>111</v>
      </c>
      <c r="HG56" s="24">
        <f>Sheet1!HI45</f>
        <v>0</v>
      </c>
      <c r="HH56" s="24">
        <f>Sheet1!HJ45</f>
        <v>0</v>
      </c>
      <c r="HK56" s="24">
        <f>Sheet1!HL45</f>
        <v>0</v>
      </c>
      <c r="HL56" s="24">
        <f>Sheet1!HM45</f>
        <v>0</v>
      </c>
      <c r="HM56" s="24" t="s">
        <v>149</v>
      </c>
      <c r="HN56" s="24" t="s">
        <v>111</v>
      </c>
      <c r="HO56" s="24">
        <f>Sheet1!HQ45</f>
        <v>0</v>
      </c>
      <c r="HP56" s="24">
        <f>Sheet1!HR45</f>
        <v>0</v>
      </c>
      <c r="HS56" s="24">
        <f>Sheet1!HT45</f>
        <v>0</v>
      </c>
      <c r="HT56" s="24">
        <f>Sheet1!HU45</f>
        <v>0</v>
      </c>
      <c r="HU56" s="24" t="s">
        <v>149</v>
      </c>
      <c r="HV56" s="24" t="s">
        <v>111</v>
      </c>
      <c r="HW56" s="24">
        <f>Sheet1!HY45</f>
        <v>0</v>
      </c>
      <c r="HX56" s="24">
        <f>Sheet1!HZ45</f>
        <v>0</v>
      </c>
      <c r="IA56" s="24">
        <f>Sheet1!IB45</f>
        <v>0</v>
      </c>
      <c r="IB56" s="24">
        <f>Sheet1!IC45</f>
        <v>0</v>
      </c>
      <c r="IC56" s="24" t="s">
        <v>149</v>
      </c>
      <c r="ID56" s="24" t="s">
        <v>111</v>
      </c>
      <c r="IE56" s="24">
        <f>Sheet1!IG45</f>
        <v>0</v>
      </c>
      <c r="IF56" s="24">
        <f>Sheet1!IH45</f>
        <v>0</v>
      </c>
      <c r="II56" s="24">
        <f>Sheet1!IJ45</f>
        <v>0</v>
      </c>
      <c r="IJ56" s="24">
        <f>Sheet1!IK45</f>
        <v>0</v>
      </c>
      <c r="IK56" s="24" t="s">
        <v>149</v>
      </c>
      <c r="IL56" s="24" t="s">
        <v>111</v>
      </c>
      <c r="IM56" s="24">
        <f>Sheet1!IO45</f>
        <v>0</v>
      </c>
      <c r="IN56" s="24">
        <f>Sheet1!IP45</f>
        <v>0</v>
      </c>
      <c r="IQ56" s="24">
        <f>Sheet1!IR45</f>
        <v>0</v>
      </c>
      <c r="IR56" s="24">
        <f>Sheet1!IS45</f>
        <v>0</v>
      </c>
      <c r="IS56" s="24" t="s">
        <v>149</v>
      </c>
      <c r="IT56" s="24" t="s">
        <v>111</v>
      </c>
      <c r="IU56" s="24" t="e">
        <f>Sheet1!#REF!</f>
        <v>#REF!</v>
      </c>
      <c r="IV56" s="24" t="e">
        <f>Sheet1!#REF!</f>
        <v>#REF!</v>
      </c>
    </row>
    <row r="57" spans="1:256" ht="22.5" customHeight="1" hidden="1">
      <c r="A57" s="28"/>
      <c r="B57" s="28"/>
      <c r="C57" s="29">
        <f>Sheet1!D46</f>
        <v>0</v>
      </c>
      <c r="D57" s="29">
        <f>Sheet1!E46</f>
        <v>0</v>
      </c>
      <c r="E57" s="103" t="s">
        <v>184</v>
      </c>
      <c r="F57" s="31" t="s">
        <v>219</v>
      </c>
      <c r="G57" s="29">
        <f>Sheet1!I46</f>
        <v>0</v>
      </c>
      <c r="H57" s="29">
        <f>Sheet1!J46</f>
        <v>0</v>
      </c>
      <c r="O57" s="24">
        <f>Sheet1!Q46</f>
        <v>0</v>
      </c>
      <c r="P57" s="24">
        <f>Sheet1!R46</f>
        <v>0</v>
      </c>
      <c r="S57" s="24">
        <f>Sheet1!T46</f>
        <v>0</v>
      </c>
      <c r="T57" s="24">
        <f>Sheet1!U46</f>
        <v>0</v>
      </c>
      <c r="U57" s="24" t="s">
        <v>149</v>
      </c>
      <c r="V57" s="24" t="s">
        <v>111</v>
      </c>
      <c r="W57" s="24">
        <f>Sheet1!Y46</f>
        <v>0</v>
      </c>
      <c r="X57" s="24">
        <f>Sheet1!Z46</f>
        <v>0</v>
      </c>
      <c r="AA57" s="24">
        <f>Sheet1!AB46</f>
        <v>0</v>
      </c>
      <c r="AB57" s="24">
        <f>Sheet1!AC46</f>
        <v>0</v>
      </c>
      <c r="AC57" s="24" t="s">
        <v>149</v>
      </c>
      <c r="AD57" s="24" t="s">
        <v>111</v>
      </c>
      <c r="AE57" s="24">
        <f>Sheet1!AG46</f>
        <v>0</v>
      </c>
      <c r="AF57" s="24">
        <f>Sheet1!AH46</f>
        <v>0</v>
      </c>
      <c r="AI57" s="24">
        <f>Sheet1!AJ46</f>
        <v>0</v>
      </c>
      <c r="AJ57" s="24">
        <f>Sheet1!AK46</f>
        <v>0</v>
      </c>
      <c r="AK57" s="24" t="s">
        <v>149</v>
      </c>
      <c r="AL57" s="24" t="s">
        <v>111</v>
      </c>
      <c r="AM57" s="24">
        <f>Sheet1!AO46</f>
        <v>0</v>
      </c>
      <c r="AN57" s="24">
        <f>Sheet1!AP46</f>
        <v>0</v>
      </c>
      <c r="AQ57" s="24">
        <f>Sheet1!AR46</f>
        <v>0</v>
      </c>
      <c r="AR57" s="24">
        <f>Sheet1!AS46</f>
        <v>0</v>
      </c>
      <c r="AS57" s="24" t="s">
        <v>149</v>
      </c>
      <c r="AT57" s="24" t="s">
        <v>111</v>
      </c>
      <c r="AU57" s="24">
        <f>Sheet1!AW46</f>
        <v>0</v>
      </c>
      <c r="AV57" s="24">
        <f>Sheet1!AX46</f>
        <v>0</v>
      </c>
      <c r="AY57" s="24">
        <f>Sheet1!AZ46</f>
        <v>0</v>
      </c>
      <c r="AZ57" s="24">
        <f>Sheet1!BA46</f>
        <v>0</v>
      </c>
      <c r="BA57" s="24" t="s">
        <v>149</v>
      </c>
      <c r="BB57" s="24" t="s">
        <v>111</v>
      </c>
      <c r="BC57" s="24">
        <f>Sheet1!BE46</f>
        <v>0</v>
      </c>
      <c r="BD57" s="24">
        <f>Sheet1!BF46</f>
        <v>0</v>
      </c>
      <c r="BG57" s="24">
        <f>Sheet1!BH46</f>
        <v>0</v>
      </c>
      <c r="BH57" s="24">
        <f>Sheet1!BI46</f>
        <v>0</v>
      </c>
      <c r="BI57" s="24" t="s">
        <v>149</v>
      </c>
      <c r="BJ57" s="24" t="s">
        <v>111</v>
      </c>
      <c r="BK57" s="24">
        <f>Sheet1!BM46</f>
        <v>0</v>
      </c>
      <c r="BL57" s="24">
        <f>Sheet1!BN46</f>
        <v>0</v>
      </c>
      <c r="BO57" s="24">
        <f>Sheet1!BP46</f>
        <v>0</v>
      </c>
      <c r="BP57" s="24">
        <f>Sheet1!BQ46</f>
        <v>0</v>
      </c>
      <c r="BQ57" s="24" t="s">
        <v>149</v>
      </c>
      <c r="BR57" s="24" t="s">
        <v>111</v>
      </c>
      <c r="BS57" s="24">
        <f>Sheet1!BU46</f>
        <v>0</v>
      </c>
      <c r="BT57" s="24">
        <f>Sheet1!BV46</f>
        <v>0</v>
      </c>
      <c r="BW57" s="24">
        <f>Sheet1!BX46</f>
        <v>0</v>
      </c>
      <c r="BX57" s="24">
        <f>Sheet1!BY46</f>
        <v>0</v>
      </c>
      <c r="BY57" s="24" t="s">
        <v>149</v>
      </c>
      <c r="BZ57" s="24" t="s">
        <v>111</v>
      </c>
      <c r="CA57" s="24">
        <f>Sheet1!CC46</f>
        <v>0</v>
      </c>
      <c r="CB57" s="24">
        <f>Sheet1!CD46</f>
        <v>0</v>
      </c>
      <c r="CE57" s="24">
        <f>Sheet1!CF46</f>
        <v>0</v>
      </c>
      <c r="CF57" s="24">
        <f>Sheet1!CG46</f>
        <v>0</v>
      </c>
      <c r="CG57" s="24" t="s">
        <v>149</v>
      </c>
      <c r="CH57" s="24" t="s">
        <v>111</v>
      </c>
      <c r="CI57" s="24">
        <f>Sheet1!CK46</f>
        <v>0</v>
      </c>
      <c r="CJ57" s="24">
        <f>Sheet1!CL46</f>
        <v>0</v>
      </c>
      <c r="CM57" s="24">
        <f>Sheet1!CN46</f>
        <v>0</v>
      </c>
      <c r="CN57" s="24">
        <f>Sheet1!CO46</f>
        <v>0</v>
      </c>
      <c r="CO57" s="24" t="s">
        <v>149</v>
      </c>
      <c r="CP57" s="24" t="s">
        <v>111</v>
      </c>
      <c r="CQ57" s="24">
        <f>Sheet1!CS46</f>
        <v>0</v>
      </c>
      <c r="CR57" s="24">
        <f>Sheet1!CT46</f>
        <v>0</v>
      </c>
      <c r="CU57" s="24">
        <f>Sheet1!CV46</f>
        <v>0</v>
      </c>
      <c r="CV57" s="24">
        <f>Sheet1!CW46</f>
        <v>0</v>
      </c>
      <c r="CW57" s="24" t="s">
        <v>149</v>
      </c>
      <c r="CX57" s="24" t="s">
        <v>111</v>
      </c>
      <c r="CY57" s="24">
        <f>Sheet1!DA46</f>
        <v>0</v>
      </c>
      <c r="CZ57" s="24">
        <f>Sheet1!DB46</f>
        <v>0</v>
      </c>
      <c r="DC57" s="24">
        <f>Sheet1!DD46</f>
        <v>0</v>
      </c>
      <c r="DD57" s="24">
        <f>Sheet1!DE46</f>
        <v>0</v>
      </c>
      <c r="DE57" s="24" t="s">
        <v>149</v>
      </c>
      <c r="DF57" s="24" t="s">
        <v>111</v>
      </c>
      <c r="DG57" s="24">
        <f>Sheet1!DI46</f>
        <v>0</v>
      </c>
      <c r="DH57" s="24">
        <f>Sheet1!DJ46</f>
        <v>0</v>
      </c>
      <c r="DK57" s="24">
        <f>Sheet1!DL46</f>
        <v>0</v>
      </c>
      <c r="DL57" s="24">
        <f>Sheet1!DM46</f>
        <v>0</v>
      </c>
      <c r="DM57" s="24" t="s">
        <v>149</v>
      </c>
      <c r="DN57" s="24" t="s">
        <v>111</v>
      </c>
      <c r="DO57" s="24">
        <f>Sheet1!DQ46</f>
        <v>0</v>
      </c>
      <c r="DP57" s="24">
        <f>Sheet1!DR46</f>
        <v>0</v>
      </c>
      <c r="DS57" s="24">
        <f>Sheet1!DT46</f>
        <v>0</v>
      </c>
      <c r="DT57" s="24">
        <f>Sheet1!DU46</f>
        <v>0</v>
      </c>
      <c r="DU57" s="24" t="s">
        <v>149</v>
      </c>
      <c r="DV57" s="24" t="s">
        <v>111</v>
      </c>
      <c r="DW57" s="24">
        <f>Sheet1!DY46</f>
        <v>0</v>
      </c>
      <c r="DX57" s="24">
        <f>Sheet1!DZ46</f>
        <v>0</v>
      </c>
      <c r="EA57" s="24">
        <f>Sheet1!EB46</f>
        <v>0</v>
      </c>
      <c r="EB57" s="24">
        <f>Sheet1!EC46</f>
        <v>0</v>
      </c>
      <c r="EC57" s="24" t="s">
        <v>149</v>
      </c>
      <c r="ED57" s="24" t="s">
        <v>111</v>
      </c>
      <c r="EE57" s="24">
        <f>Sheet1!EG46</f>
        <v>0</v>
      </c>
      <c r="EF57" s="24">
        <f>Sheet1!EH46</f>
        <v>0</v>
      </c>
      <c r="EI57" s="24">
        <f>Sheet1!EJ46</f>
        <v>0</v>
      </c>
      <c r="EJ57" s="24">
        <f>Sheet1!EK46</f>
        <v>0</v>
      </c>
      <c r="EK57" s="24" t="s">
        <v>149</v>
      </c>
      <c r="EL57" s="24" t="s">
        <v>111</v>
      </c>
      <c r="EM57" s="24">
        <f>Sheet1!EO46</f>
        <v>0</v>
      </c>
      <c r="EN57" s="24">
        <f>Sheet1!EP46</f>
        <v>0</v>
      </c>
      <c r="EQ57" s="24">
        <f>Sheet1!ER46</f>
        <v>0</v>
      </c>
      <c r="ER57" s="24">
        <f>Sheet1!ES46</f>
        <v>0</v>
      </c>
      <c r="ES57" s="24" t="s">
        <v>149</v>
      </c>
      <c r="ET57" s="24" t="s">
        <v>111</v>
      </c>
      <c r="EU57" s="24">
        <f>Sheet1!EW46</f>
        <v>0</v>
      </c>
      <c r="EV57" s="24">
        <f>Sheet1!EX46</f>
        <v>0</v>
      </c>
      <c r="EY57" s="24">
        <f>Sheet1!EZ46</f>
        <v>0</v>
      </c>
      <c r="EZ57" s="24">
        <f>Sheet1!FA46</f>
        <v>0</v>
      </c>
      <c r="FA57" s="24" t="s">
        <v>149</v>
      </c>
      <c r="FB57" s="24" t="s">
        <v>111</v>
      </c>
      <c r="FC57" s="24">
        <f>Sheet1!FE46</f>
        <v>0</v>
      </c>
      <c r="FD57" s="24">
        <f>Sheet1!FF46</f>
        <v>0</v>
      </c>
      <c r="FG57" s="24">
        <f>Sheet1!FH46</f>
        <v>0</v>
      </c>
      <c r="FH57" s="24">
        <f>Sheet1!FI46</f>
        <v>0</v>
      </c>
      <c r="FI57" s="24" t="s">
        <v>149</v>
      </c>
      <c r="FJ57" s="24" t="s">
        <v>111</v>
      </c>
      <c r="FK57" s="24">
        <f>Sheet1!FM46</f>
        <v>0</v>
      </c>
      <c r="FL57" s="24">
        <f>Sheet1!FN46</f>
        <v>0</v>
      </c>
      <c r="FO57" s="24">
        <f>Sheet1!FP46</f>
        <v>0</v>
      </c>
      <c r="FP57" s="24">
        <f>Sheet1!FQ46</f>
        <v>0</v>
      </c>
      <c r="FQ57" s="24" t="s">
        <v>149</v>
      </c>
      <c r="FR57" s="24" t="s">
        <v>111</v>
      </c>
      <c r="FS57" s="24">
        <f>Sheet1!FU46</f>
        <v>0</v>
      </c>
      <c r="FT57" s="24">
        <f>Sheet1!FV46</f>
        <v>0</v>
      </c>
      <c r="FW57" s="24">
        <f>Sheet1!FX46</f>
        <v>0</v>
      </c>
      <c r="FX57" s="24">
        <f>Sheet1!FY46</f>
        <v>0</v>
      </c>
      <c r="FY57" s="24" t="s">
        <v>149</v>
      </c>
      <c r="FZ57" s="24" t="s">
        <v>111</v>
      </c>
      <c r="GA57" s="24">
        <f>Sheet1!GC46</f>
        <v>0</v>
      </c>
      <c r="GB57" s="24">
        <f>Sheet1!GD46</f>
        <v>0</v>
      </c>
      <c r="GE57" s="24">
        <f>Sheet1!GF46</f>
        <v>0</v>
      </c>
      <c r="GF57" s="24">
        <f>Sheet1!GG46</f>
        <v>0</v>
      </c>
      <c r="GG57" s="24" t="s">
        <v>149</v>
      </c>
      <c r="GH57" s="24" t="s">
        <v>111</v>
      </c>
      <c r="GI57" s="24">
        <f>Sheet1!GK46</f>
        <v>0</v>
      </c>
      <c r="GJ57" s="24">
        <f>Sheet1!GL46</f>
        <v>0</v>
      </c>
      <c r="GM57" s="24">
        <f>Sheet1!GN46</f>
        <v>0</v>
      </c>
      <c r="GN57" s="24">
        <f>Sheet1!GO46</f>
        <v>0</v>
      </c>
      <c r="GO57" s="24" t="s">
        <v>149</v>
      </c>
      <c r="GP57" s="24" t="s">
        <v>111</v>
      </c>
      <c r="GQ57" s="24">
        <f>Sheet1!GS46</f>
        <v>0</v>
      </c>
      <c r="GR57" s="24">
        <f>Sheet1!GT46</f>
        <v>0</v>
      </c>
      <c r="GU57" s="24">
        <f>Sheet1!GV46</f>
        <v>0</v>
      </c>
      <c r="GV57" s="24">
        <f>Sheet1!GW46</f>
        <v>0</v>
      </c>
      <c r="GW57" s="24" t="s">
        <v>149</v>
      </c>
      <c r="GX57" s="24" t="s">
        <v>111</v>
      </c>
      <c r="GY57" s="24">
        <f>Sheet1!HA46</f>
        <v>0</v>
      </c>
      <c r="GZ57" s="24">
        <f>Sheet1!HB46</f>
        <v>0</v>
      </c>
      <c r="HC57" s="24">
        <f>Sheet1!HD46</f>
        <v>0</v>
      </c>
      <c r="HD57" s="24">
        <f>Sheet1!HE46</f>
        <v>0</v>
      </c>
      <c r="HE57" s="24" t="s">
        <v>149</v>
      </c>
      <c r="HF57" s="24" t="s">
        <v>111</v>
      </c>
      <c r="HG57" s="24">
        <f>Sheet1!HI46</f>
        <v>0</v>
      </c>
      <c r="HH57" s="24">
        <f>Sheet1!HJ46</f>
        <v>0</v>
      </c>
      <c r="HK57" s="24">
        <f>Sheet1!HL46</f>
        <v>0</v>
      </c>
      <c r="HL57" s="24">
        <f>Sheet1!HM46</f>
        <v>0</v>
      </c>
      <c r="HM57" s="24" t="s">
        <v>149</v>
      </c>
      <c r="HN57" s="24" t="s">
        <v>111</v>
      </c>
      <c r="HO57" s="24">
        <f>Sheet1!HQ46</f>
        <v>0</v>
      </c>
      <c r="HP57" s="24">
        <f>Sheet1!HR46</f>
        <v>0</v>
      </c>
      <c r="HS57" s="24">
        <f>Sheet1!HT46</f>
        <v>0</v>
      </c>
      <c r="HT57" s="24">
        <f>Sheet1!HU46</f>
        <v>0</v>
      </c>
      <c r="HU57" s="24" t="s">
        <v>149</v>
      </c>
      <c r="HV57" s="24" t="s">
        <v>111</v>
      </c>
      <c r="HW57" s="24">
        <f>Sheet1!HY46</f>
        <v>0</v>
      </c>
      <c r="HX57" s="24">
        <f>Sheet1!HZ46</f>
        <v>0</v>
      </c>
      <c r="IA57" s="24">
        <f>Sheet1!IB46</f>
        <v>0</v>
      </c>
      <c r="IB57" s="24">
        <f>Sheet1!IC46</f>
        <v>0</v>
      </c>
      <c r="IC57" s="24" t="s">
        <v>149</v>
      </c>
      <c r="ID57" s="24" t="s">
        <v>111</v>
      </c>
      <c r="IE57" s="24">
        <f>Sheet1!IG46</f>
        <v>0</v>
      </c>
      <c r="IF57" s="24">
        <f>Sheet1!IH46</f>
        <v>0</v>
      </c>
      <c r="II57" s="24">
        <f>Sheet1!IJ46</f>
        <v>0</v>
      </c>
      <c r="IJ57" s="24">
        <f>Sheet1!IK46</f>
        <v>0</v>
      </c>
      <c r="IK57" s="24" t="s">
        <v>149</v>
      </c>
      <c r="IL57" s="24" t="s">
        <v>111</v>
      </c>
      <c r="IM57" s="24">
        <f>Sheet1!IO46</f>
        <v>0</v>
      </c>
      <c r="IN57" s="24">
        <f>Sheet1!IP46</f>
        <v>0</v>
      </c>
      <c r="IQ57" s="24">
        <f>Sheet1!IR46</f>
        <v>0</v>
      </c>
      <c r="IR57" s="24">
        <f>Sheet1!IS46</f>
        <v>0</v>
      </c>
      <c r="IS57" s="24" t="s">
        <v>149</v>
      </c>
      <c r="IT57" s="24" t="s">
        <v>111</v>
      </c>
      <c r="IU57" s="24" t="e">
        <f>Sheet1!#REF!</f>
        <v>#REF!</v>
      </c>
      <c r="IV57" s="24" t="e">
        <f>Sheet1!#REF!</f>
        <v>#REF!</v>
      </c>
    </row>
    <row r="58" spans="1:8" ht="22.5" customHeight="1">
      <c r="A58" s="28"/>
      <c r="B58" s="28"/>
      <c r="C58" s="29">
        <f>Sheet1!D47</f>
        <v>40000</v>
      </c>
      <c r="D58" s="29">
        <f>Sheet1!E47</f>
        <v>0</v>
      </c>
      <c r="E58" s="33" t="s">
        <v>287</v>
      </c>
      <c r="F58" s="31" t="s">
        <v>219</v>
      </c>
      <c r="G58" s="29">
        <f>Sheet1!I47</f>
        <v>4000</v>
      </c>
      <c r="H58" s="29">
        <f>Sheet1!J47</f>
        <v>0</v>
      </c>
    </row>
    <row r="59" spans="1:8" ht="22.5" customHeight="1">
      <c r="A59" s="28"/>
      <c r="B59" s="28"/>
      <c r="C59" s="29">
        <f>Sheet1!D48</f>
        <v>10500</v>
      </c>
      <c r="D59" s="29">
        <f>Sheet1!E48</f>
        <v>0</v>
      </c>
      <c r="E59" s="33" t="s">
        <v>315</v>
      </c>
      <c r="F59" s="31" t="s">
        <v>219</v>
      </c>
      <c r="G59" s="29">
        <f>Sheet1!I48</f>
        <v>0</v>
      </c>
      <c r="H59" s="29">
        <f>Sheet1!J48</f>
        <v>0</v>
      </c>
    </row>
    <row r="60" spans="1:8" ht="22.5" customHeight="1">
      <c r="A60" s="28"/>
      <c r="B60" s="28"/>
      <c r="C60" s="29">
        <f>Sheet1!D49</f>
        <v>34200</v>
      </c>
      <c r="D60" s="29">
        <f>Sheet1!E49</f>
        <v>0</v>
      </c>
      <c r="E60" s="141" t="s">
        <v>321</v>
      </c>
      <c r="F60" s="31" t="s">
        <v>219</v>
      </c>
      <c r="G60" s="29">
        <f>Sheet1!I49</f>
        <v>0</v>
      </c>
      <c r="H60" s="29">
        <f>Sheet1!J49</f>
        <v>0</v>
      </c>
    </row>
    <row r="61" spans="1:8" ht="22.5" customHeight="1">
      <c r="A61" s="28"/>
      <c r="B61" s="28"/>
      <c r="C61" s="29">
        <f>Sheet1!D50</f>
        <v>1710</v>
      </c>
      <c r="D61" s="29">
        <f>Sheet1!E50</f>
        <v>0</v>
      </c>
      <c r="E61" s="33" t="s">
        <v>322</v>
      </c>
      <c r="F61" s="31" t="s">
        <v>219</v>
      </c>
      <c r="G61" s="29">
        <f>Sheet1!I50</f>
        <v>0</v>
      </c>
      <c r="H61" s="29">
        <f>Sheet1!J50</f>
        <v>0</v>
      </c>
    </row>
    <row r="62" spans="1:8" ht="22.5" customHeight="1" hidden="1">
      <c r="A62" s="28"/>
      <c r="B62" s="28"/>
      <c r="C62" s="29">
        <f>Sheet1!D51</f>
        <v>0</v>
      </c>
      <c r="D62" s="29">
        <f>Sheet1!E51</f>
        <v>0</v>
      </c>
      <c r="E62" s="33" t="s">
        <v>131</v>
      </c>
      <c r="F62" s="31" t="s">
        <v>244</v>
      </c>
      <c r="G62" s="29">
        <f>Sheet1!I51</f>
        <v>0</v>
      </c>
      <c r="H62" s="29">
        <f>Sheet1!J51</f>
        <v>0</v>
      </c>
    </row>
    <row r="63" spans="1:8" ht="22.5" customHeight="1" hidden="1">
      <c r="A63" s="28"/>
      <c r="B63" s="28"/>
      <c r="C63" s="29">
        <f>Sheet1!D52</f>
        <v>0</v>
      </c>
      <c r="D63" s="29">
        <f>Sheet1!E52</f>
        <v>0</v>
      </c>
      <c r="E63" s="33" t="s">
        <v>96</v>
      </c>
      <c r="F63" s="31" t="s">
        <v>245</v>
      </c>
      <c r="G63" s="29">
        <f>Sheet1!I52</f>
        <v>0</v>
      </c>
      <c r="H63" s="29">
        <f>Sheet1!J52</f>
        <v>0</v>
      </c>
    </row>
    <row r="64" spans="1:8" ht="22.5" customHeight="1" hidden="1">
      <c r="A64" s="28"/>
      <c r="B64" s="28"/>
      <c r="C64" s="29">
        <f>Sheet1!D53</f>
        <v>0</v>
      </c>
      <c r="D64" s="29">
        <f>Sheet1!E53</f>
        <v>0</v>
      </c>
      <c r="E64" s="33" t="s">
        <v>21</v>
      </c>
      <c r="F64" s="31" t="s">
        <v>246</v>
      </c>
      <c r="G64" s="29">
        <f>Sheet1!I53</f>
        <v>0</v>
      </c>
      <c r="H64" s="29">
        <f>Sheet1!J53</f>
        <v>0</v>
      </c>
    </row>
    <row r="65" spans="1:8" ht="22.5" customHeight="1" hidden="1">
      <c r="A65" s="28"/>
      <c r="B65" s="28"/>
      <c r="C65" s="29">
        <f>Sheet1!D54</f>
        <v>0</v>
      </c>
      <c r="D65" s="29">
        <f>Sheet1!E54</f>
        <v>0</v>
      </c>
      <c r="E65" s="33" t="s">
        <v>247</v>
      </c>
      <c r="F65" s="31" t="s">
        <v>248</v>
      </c>
      <c r="G65" s="29">
        <f>Sheet1!I54</f>
        <v>0</v>
      </c>
      <c r="H65" s="29">
        <f>Sheet1!J54</f>
        <v>0</v>
      </c>
    </row>
    <row r="66" spans="1:8" ht="22.5" customHeight="1">
      <c r="A66" s="28"/>
      <c r="B66" s="28"/>
      <c r="C66" s="29">
        <f>Sheet1!D55</f>
        <v>5000</v>
      </c>
      <c r="D66" s="29">
        <f>Sheet1!E55</f>
        <v>0</v>
      </c>
      <c r="E66" s="33" t="s">
        <v>14</v>
      </c>
      <c r="F66" s="60" t="s">
        <v>249</v>
      </c>
      <c r="G66" s="29">
        <f>Sheet1!I55</f>
        <v>500</v>
      </c>
      <c r="H66" s="29">
        <f>Sheet1!J55</f>
        <v>0</v>
      </c>
    </row>
    <row r="67" spans="1:8" ht="22.5" customHeight="1">
      <c r="A67" s="28"/>
      <c r="B67" s="28"/>
      <c r="C67" s="29">
        <f>Sheet1!D56</f>
        <v>3770</v>
      </c>
      <c r="D67" s="29">
        <f>Sheet1!E56</f>
        <v>0</v>
      </c>
      <c r="E67" s="33" t="s">
        <v>156</v>
      </c>
      <c r="F67" s="31" t="s">
        <v>250</v>
      </c>
      <c r="G67" s="29">
        <f>Sheet1!I56</f>
        <v>0</v>
      </c>
      <c r="H67" s="29">
        <f>Sheet1!J56</f>
        <v>0</v>
      </c>
    </row>
    <row r="68" spans="1:8" ht="22.5" customHeight="1">
      <c r="A68" s="28"/>
      <c r="B68" s="28"/>
      <c r="C68" s="29">
        <f>Sheet1!D58</f>
        <v>42952</v>
      </c>
      <c r="D68" s="29" t="str">
        <f>Sheet1!E58</f>
        <v>27</v>
      </c>
      <c r="E68" s="33" t="s">
        <v>235</v>
      </c>
      <c r="F68" s="31" t="s">
        <v>250</v>
      </c>
      <c r="G68" s="29">
        <f>Sheet1!I58</f>
        <v>0</v>
      </c>
      <c r="H68" s="29">
        <f>Sheet1!J58</f>
        <v>0</v>
      </c>
    </row>
    <row r="69" spans="1:8" ht="22.5" customHeight="1">
      <c r="A69" s="28"/>
      <c r="B69" s="28"/>
      <c r="C69" s="29">
        <f>Sheet1!D59</f>
        <v>0</v>
      </c>
      <c r="D69" s="29">
        <f>Sheet1!E59</f>
        <v>0</v>
      </c>
      <c r="E69" s="33" t="s">
        <v>15</v>
      </c>
      <c r="F69" s="31" t="s">
        <v>38</v>
      </c>
      <c r="G69" s="29">
        <f>Sheet1!I59</f>
        <v>0</v>
      </c>
      <c r="H69" s="29">
        <f>Sheet1!J59</f>
        <v>0</v>
      </c>
    </row>
    <row r="70" spans="1:8" ht="22.5" customHeight="1">
      <c r="A70" s="28"/>
      <c r="B70" s="28"/>
      <c r="C70" s="29">
        <f>Sheet1!D60</f>
        <v>86933</v>
      </c>
      <c r="D70" s="29" t="str">
        <f>Sheet1!E60</f>
        <v>18</v>
      </c>
      <c r="E70" s="33" t="s">
        <v>16</v>
      </c>
      <c r="F70" s="31" t="s">
        <v>39</v>
      </c>
      <c r="G70" s="29">
        <f>Sheet1!I60</f>
        <v>0</v>
      </c>
      <c r="H70" s="29">
        <f>Sheet1!J60</f>
        <v>0</v>
      </c>
    </row>
    <row r="71" spans="1:8" ht="22.5" customHeight="1">
      <c r="A71" s="28"/>
      <c r="B71" s="28"/>
      <c r="C71" s="29">
        <f>Sheet1!D61</f>
        <v>147563</v>
      </c>
      <c r="D71" s="29" t="str">
        <f>Sheet1!E61</f>
        <v>55</v>
      </c>
      <c r="E71" s="33" t="s">
        <v>18</v>
      </c>
      <c r="F71" s="39" t="s">
        <v>41</v>
      </c>
      <c r="G71" s="29">
        <f>Sheet1!I61</f>
        <v>0</v>
      </c>
      <c r="H71" s="29">
        <f>Sheet1!J61</f>
        <v>0</v>
      </c>
    </row>
    <row r="72" spans="1:8" ht="22.5" customHeight="1">
      <c r="A72" s="28"/>
      <c r="B72" s="28"/>
      <c r="C72" s="29">
        <f>Sheet1!D62</f>
        <v>0</v>
      </c>
      <c r="D72" s="29">
        <f>Sheet1!E62</f>
        <v>0</v>
      </c>
      <c r="E72" s="33" t="s">
        <v>10</v>
      </c>
      <c r="F72" s="39" t="s">
        <v>77</v>
      </c>
      <c r="G72" s="29">
        <f>Sheet1!I62</f>
        <v>0</v>
      </c>
      <c r="H72" s="29">
        <f>Sheet1!J62</f>
        <v>0</v>
      </c>
    </row>
    <row r="73" spans="1:8" ht="22.5" customHeight="1">
      <c r="A73" s="28"/>
      <c r="B73" s="28"/>
      <c r="C73" s="29">
        <f>Sheet1!D63</f>
        <v>0</v>
      </c>
      <c r="D73" s="29">
        <f>Sheet1!E63</f>
        <v>0</v>
      </c>
      <c r="E73" s="33" t="s">
        <v>121</v>
      </c>
      <c r="F73" s="31" t="s">
        <v>251</v>
      </c>
      <c r="G73" s="29">
        <f>Sheet1!I63</f>
        <v>0</v>
      </c>
      <c r="H73" s="29">
        <f>Sheet1!J63</f>
        <v>0</v>
      </c>
    </row>
    <row r="74" spans="1:8" ht="24" customHeight="1">
      <c r="A74" s="104">
        <f>SUM(A9:A73)</f>
        <v>215000000</v>
      </c>
      <c r="B74" s="104">
        <f>SUM(B9:B73)</f>
        <v>0</v>
      </c>
      <c r="C74" s="105">
        <f>Sheet1!D67</f>
        <v>213373243</v>
      </c>
      <c r="D74" s="105" t="str">
        <f>Sheet1!E67</f>
        <v>71</v>
      </c>
      <c r="E74" s="11" t="s">
        <v>26</v>
      </c>
      <c r="F74" s="106"/>
      <c r="G74" s="105">
        <f>Sheet1!I67</f>
        <v>21405526</v>
      </c>
      <c r="H74" s="105" t="str">
        <f>Sheet1!J67</f>
        <v>.0</v>
      </c>
    </row>
    <row r="75" spans="1:8" ht="24" customHeight="1" thickBot="1">
      <c r="A75" s="205" t="s">
        <v>340</v>
      </c>
      <c r="B75" s="206"/>
      <c r="C75" s="206"/>
      <c r="D75" s="206"/>
      <c r="E75" s="206"/>
      <c r="F75" s="206"/>
      <c r="G75" s="206"/>
      <c r="H75" s="207"/>
    </row>
    <row r="76" spans="1:8" ht="22.5" customHeight="1" thickTop="1">
      <c r="A76" s="35"/>
      <c r="B76" s="35"/>
      <c r="C76" s="36"/>
      <c r="D76" s="36"/>
      <c r="E76" s="108" t="s">
        <v>13</v>
      </c>
      <c r="F76" s="35"/>
      <c r="G76" s="37"/>
      <c r="H76" s="37"/>
    </row>
    <row r="77" spans="1:8" ht="22.5" customHeight="1">
      <c r="A77" s="38">
        <v>19499650</v>
      </c>
      <c r="B77" s="30" t="s">
        <v>114</v>
      </c>
      <c r="C77" s="38">
        <f>Sheet1!D69</f>
        <v>6320676</v>
      </c>
      <c r="D77" s="38" t="str">
        <f>Sheet1!E69</f>
        <v>17</v>
      </c>
      <c r="E77" s="32" t="s">
        <v>14</v>
      </c>
      <c r="F77" s="60" t="s">
        <v>249</v>
      </c>
      <c r="G77" s="38">
        <f>Sheet1!I69</f>
        <v>282602</v>
      </c>
      <c r="H77" s="38" t="str">
        <f>Sheet1!J69</f>
        <v>21</v>
      </c>
    </row>
    <row r="78" spans="1:8" ht="22.5" customHeight="1">
      <c r="A78" s="38">
        <v>4426920</v>
      </c>
      <c r="B78" s="30" t="s">
        <v>114</v>
      </c>
      <c r="C78" s="38">
        <f>Sheet1!D70</f>
        <v>3075768</v>
      </c>
      <c r="D78" s="38" t="str">
        <f>Sheet1!E70</f>
        <v>39</v>
      </c>
      <c r="E78" s="32" t="s">
        <v>155</v>
      </c>
      <c r="F78" s="60" t="s">
        <v>252</v>
      </c>
      <c r="G78" s="38">
        <f>Sheet1!I70</f>
        <v>170970</v>
      </c>
      <c r="H78" s="38">
        <f>Sheet1!J70</f>
        <v>0</v>
      </c>
    </row>
    <row r="79" spans="1:8" ht="22.5" customHeight="1">
      <c r="A79" s="38">
        <v>29171450</v>
      </c>
      <c r="B79" s="30" t="s">
        <v>114</v>
      </c>
      <c r="C79" s="38">
        <f>Sheet1!D71</f>
        <v>18369017</v>
      </c>
      <c r="D79" s="38" t="str">
        <f>Sheet1!E71</f>
        <v>42</v>
      </c>
      <c r="E79" s="32" t="s">
        <v>233</v>
      </c>
      <c r="F79" s="60" t="s">
        <v>250</v>
      </c>
      <c r="G79" s="38">
        <f>Sheet1!I71</f>
        <v>1947845</v>
      </c>
      <c r="H79" s="38" t="str">
        <f>Sheet1!J71</f>
        <v>72</v>
      </c>
    </row>
    <row r="80" spans="1:8" ht="22.5" customHeight="1">
      <c r="A80" s="38">
        <v>966420</v>
      </c>
      <c r="B80" s="30" t="s">
        <v>114</v>
      </c>
      <c r="C80" s="38">
        <f>Sheet1!D72</f>
        <v>797660</v>
      </c>
      <c r="D80" s="38">
        <f>Sheet1!E72</f>
        <v>0</v>
      </c>
      <c r="E80" s="32" t="s">
        <v>234</v>
      </c>
      <c r="F80" s="60" t="s">
        <v>250</v>
      </c>
      <c r="G80" s="38">
        <f>Sheet1!I72</f>
        <v>81335</v>
      </c>
      <c r="H80" s="38">
        <f>Sheet1!J72</f>
        <v>0</v>
      </c>
    </row>
    <row r="81" spans="1:8" ht="22.5" customHeight="1">
      <c r="A81" s="38">
        <v>36841590</v>
      </c>
      <c r="B81" s="30" t="s">
        <v>114</v>
      </c>
      <c r="C81" s="38">
        <f>Sheet1!D73</f>
        <v>32106963</v>
      </c>
      <c r="D81" s="38" t="str">
        <f>Sheet1!E73</f>
        <v>86</v>
      </c>
      <c r="E81" s="32" t="s">
        <v>235</v>
      </c>
      <c r="F81" s="60" t="s">
        <v>250</v>
      </c>
      <c r="G81" s="38">
        <f>Sheet1!I73</f>
        <v>3159291</v>
      </c>
      <c r="H81" s="38" t="str">
        <f>Sheet1!J73</f>
        <v>62</v>
      </c>
    </row>
    <row r="82" spans="1:8" ht="22.5" customHeight="1">
      <c r="A82" s="38">
        <v>6652170</v>
      </c>
      <c r="B82" s="30" t="s">
        <v>114</v>
      </c>
      <c r="C82" s="38">
        <f>Sheet1!D74</f>
        <v>1945264</v>
      </c>
      <c r="D82" s="38" t="str">
        <f>Sheet1!E74</f>
        <v>18</v>
      </c>
      <c r="E82" s="32" t="s">
        <v>15</v>
      </c>
      <c r="F82" s="60" t="s">
        <v>38</v>
      </c>
      <c r="G82" s="38">
        <f>Sheet1!I74</f>
        <v>141700</v>
      </c>
      <c r="H82" s="38">
        <f>Sheet1!J74</f>
        <v>0</v>
      </c>
    </row>
    <row r="83" spans="1:8" ht="22.5" customHeight="1">
      <c r="A83" s="38">
        <v>35795360</v>
      </c>
      <c r="B83" s="30" t="s">
        <v>114</v>
      </c>
      <c r="C83" s="38">
        <f>Sheet1!D75</f>
        <v>21032358</v>
      </c>
      <c r="D83" s="38" t="str">
        <f>Sheet1!E75</f>
        <v>63</v>
      </c>
      <c r="E83" s="32" t="s">
        <v>16</v>
      </c>
      <c r="F83" s="39" t="s">
        <v>39</v>
      </c>
      <c r="G83" s="38">
        <f>Sheet1!I75</f>
        <v>1611690</v>
      </c>
      <c r="H83" s="38" t="str">
        <f>Sheet1!J75</f>
        <v>22</v>
      </c>
    </row>
    <row r="84" spans="1:8" ht="22.5" customHeight="1">
      <c r="A84" s="38">
        <v>10147540</v>
      </c>
      <c r="B84" s="30" t="s">
        <v>114</v>
      </c>
      <c r="C84" s="38">
        <f>Sheet1!D76</f>
        <v>6648102</v>
      </c>
      <c r="D84" s="38" t="str">
        <f>Sheet1!E76</f>
        <v>76</v>
      </c>
      <c r="E84" s="32" t="s">
        <v>17</v>
      </c>
      <c r="F84" s="39" t="s">
        <v>40</v>
      </c>
      <c r="G84" s="38">
        <f>Sheet1!I76</f>
        <v>407359</v>
      </c>
      <c r="H84" s="38" t="str">
        <f>Sheet1!J76</f>
        <v>79</v>
      </c>
    </row>
    <row r="85" spans="1:8" ht="22.5" customHeight="1">
      <c r="A85" s="38">
        <v>1946000</v>
      </c>
      <c r="B85" s="30" t="s">
        <v>114</v>
      </c>
      <c r="C85" s="38">
        <f>Sheet1!D77</f>
        <v>1987676</v>
      </c>
      <c r="D85" s="38" t="str">
        <f>Sheet1!E77</f>
        <v>05</v>
      </c>
      <c r="E85" s="32" t="s">
        <v>18</v>
      </c>
      <c r="F85" s="39" t="s">
        <v>41</v>
      </c>
      <c r="G85" s="38">
        <f>Sheet1!I77</f>
        <v>224856</v>
      </c>
      <c r="H85" s="38" t="str">
        <f>Sheet1!J77</f>
        <v>92</v>
      </c>
    </row>
    <row r="86" spans="1:8" ht="22.5" customHeight="1">
      <c r="A86" s="38">
        <v>16331400</v>
      </c>
      <c r="B86" s="30" t="s">
        <v>114</v>
      </c>
      <c r="C86" s="38">
        <f>Sheet1!D78</f>
        <v>13336043</v>
      </c>
      <c r="D86" s="38" t="str">
        <f>Sheet1!E78</f>
        <v>70</v>
      </c>
      <c r="E86" s="32" t="s">
        <v>19</v>
      </c>
      <c r="F86" s="39" t="s">
        <v>42</v>
      </c>
      <c r="G86" s="38">
        <f>Sheet1!I78</f>
        <v>300252</v>
      </c>
      <c r="H86" s="38" t="str">
        <f>Sheet1!J78</f>
        <v>50</v>
      </c>
    </row>
    <row r="87" spans="1:8" ht="22.5" customHeight="1">
      <c r="A87" s="40">
        <v>48798000</v>
      </c>
      <c r="B87" s="30" t="s">
        <v>114</v>
      </c>
      <c r="C87" s="38">
        <f>Sheet1!D79</f>
        <v>23143477</v>
      </c>
      <c r="D87" s="38">
        <f>Sheet1!E79</f>
        <v>0</v>
      </c>
      <c r="E87" s="32" t="s">
        <v>20</v>
      </c>
      <c r="F87" s="39" t="s">
        <v>43</v>
      </c>
      <c r="G87" s="38">
        <f>Sheet1!I79</f>
        <v>1772900</v>
      </c>
      <c r="H87" s="38">
        <f>Sheet1!J79</f>
        <v>0</v>
      </c>
    </row>
    <row r="88" spans="1:8" ht="22.5" customHeight="1">
      <c r="A88" s="38">
        <v>4423500</v>
      </c>
      <c r="B88" s="30" t="s">
        <v>114</v>
      </c>
      <c r="C88" s="38">
        <f>Sheet1!D80</f>
        <v>3237000</v>
      </c>
      <c r="D88" s="38">
        <f>Sheet1!E80</f>
        <v>0</v>
      </c>
      <c r="E88" s="32" t="s">
        <v>10</v>
      </c>
      <c r="F88" s="39" t="s">
        <v>77</v>
      </c>
      <c r="G88" s="38">
        <f>Sheet1!I80</f>
        <v>944000</v>
      </c>
      <c r="H88" s="38">
        <f>Sheet1!J80</f>
        <v>0</v>
      </c>
    </row>
    <row r="89" spans="1:8" ht="22.5" customHeight="1" hidden="1">
      <c r="A89" s="38"/>
      <c r="B89" s="30" t="s">
        <v>114</v>
      </c>
      <c r="C89" s="38">
        <f>Sheet1!D81</f>
        <v>0</v>
      </c>
      <c r="D89" s="38">
        <f>Sheet1!E81</f>
        <v>0</v>
      </c>
      <c r="E89" s="32" t="s">
        <v>194</v>
      </c>
      <c r="F89" s="39" t="s">
        <v>195</v>
      </c>
      <c r="G89" s="38">
        <f>Sheet1!I81</f>
        <v>0</v>
      </c>
      <c r="H89" s="38">
        <f>Sheet1!J81</f>
        <v>0</v>
      </c>
    </row>
    <row r="90" spans="1:8" ht="22.5" customHeight="1" hidden="1">
      <c r="A90" s="38">
        <v>0</v>
      </c>
      <c r="B90" s="30" t="s">
        <v>114</v>
      </c>
      <c r="C90" s="38">
        <f>Sheet1!D82</f>
        <v>0</v>
      </c>
      <c r="D90" s="38">
        <f>Sheet1!E82</f>
        <v>0</v>
      </c>
      <c r="E90" s="32" t="s">
        <v>147</v>
      </c>
      <c r="F90" s="39" t="s">
        <v>253</v>
      </c>
      <c r="G90" s="38">
        <f>Sheet1!I82</f>
        <v>0</v>
      </c>
      <c r="H90" s="38">
        <f>Sheet1!J82</f>
        <v>0</v>
      </c>
    </row>
    <row r="91" spans="1:8" ht="22.5" customHeight="1">
      <c r="A91" s="40"/>
      <c r="B91" s="34"/>
      <c r="C91" s="38">
        <f>Sheet1!D83</f>
        <v>6702218</v>
      </c>
      <c r="D91" s="38">
        <f>Sheet1!E83</f>
        <v>0</v>
      </c>
      <c r="E91" s="32" t="s">
        <v>138</v>
      </c>
      <c r="F91" s="39" t="s">
        <v>239</v>
      </c>
      <c r="G91" s="38">
        <f>Sheet1!I83</f>
        <v>253700</v>
      </c>
      <c r="H91" s="38">
        <f>Sheet1!J83</f>
        <v>0</v>
      </c>
    </row>
    <row r="92" spans="1:8" ht="22.5" customHeight="1">
      <c r="A92" s="38"/>
      <c r="B92" s="34" t="s">
        <v>82</v>
      </c>
      <c r="C92" s="38">
        <f>Sheet1!D84</f>
        <v>17945340</v>
      </c>
      <c r="D92" s="38">
        <f>Sheet1!E84</f>
        <v>0</v>
      </c>
      <c r="E92" s="32" t="s">
        <v>139</v>
      </c>
      <c r="F92" s="31" t="s">
        <v>240</v>
      </c>
      <c r="G92" s="38">
        <f>Sheet1!I84</f>
        <v>2213500</v>
      </c>
      <c r="H92" s="38">
        <f>Sheet1!J84</f>
        <v>0</v>
      </c>
    </row>
    <row r="93" spans="1:8" ht="22.5" customHeight="1" hidden="1">
      <c r="A93" s="38"/>
      <c r="B93" s="34" t="s">
        <v>82</v>
      </c>
      <c r="C93" s="38">
        <f>Sheet1!D85</f>
        <v>0</v>
      </c>
      <c r="D93" s="38">
        <f>Sheet1!E85</f>
        <v>0</v>
      </c>
      <c r="E93" s="32" t="s">
        <v>140</v>
      </c>
      <c r="F93" s="31" t="s">
        <v>238</v>
      </c>
      <c r="G93" s="38">
        <f>Sheet1!I85</f>
        <v>0</v>
      </c>
      <c r="H93" s="38">
        <f>Sheet1!J85</f>
        <v>0</v>
      </c>
    </row>
    <row r="94" spans="1:8" ht="22.5" customHeight="1">
      <c r="A94" s="38"/>
      <c r="B94" s="34" t="s">
        <v>82</v>
      </c>
      <c r="C94" s="38">
        <f>Sheet1!D86</f>
        <v>45000</v>
      </c>
      <c r="D94" s="38">
        <f>Sheet1!E86</f>
        <v>0</v>
      </c>
      <c r="E94" s="32" t="s">
        <v>254</v>
      </c>
      <c r="F94" s="31" t="s">
        <v>242</v>
      </c>
      <c r="G94" s="38">
        <f>Sheet1!I86</f>
        <v>0</v>
      </c>
      <c r="H94" s="38">
        <f>Sheet1!J86</f>
        <v>0</v>
      </c>
    </row>
    <row r="95" spans="1:8" ht="22.5" customHeight="1" hidden="1">
      <c r="A95" s="38"/>
      <c r="B95" s="34" t="s">
        <v>82</v>
      </c>
      <c r="C95" s="38">
        <f>Sheet1!D87</f>
        <v>0</v>
      </c>
      <c r="D95" s="38">
        <f>Sheet1!E87</f>
        <v>0</v>
      </c>
      <c r="E95" s="32" t="s">
        <v>141</v>
      </c>
      <c r="F95" s="31" t="s">
        <v>236</v>
      </c>
      <c r="G95" s="38">
        <f>Sheet1!I87</f>
        <v>0</v>
      </c>
      <c r="H95" s="38">
        <f>Sheet1!J87</f>
        <v>0</v>
      </c>
    </row>
    <row r="96" spans="1:8" ht="22.5" customHeight="1" hidden="1">
      <c r="A96" s="38"/>
      <c r="B96" s="34" t="s">
        <v>82</v>
      </c>
      <c r="C96" s="38">
        <f>Sheet1!D88</f>
        <v>0</v>
      </c>
      <c r="D96" s="38">
        <f>Sheet1!E88</f>
        <v>0</v>
      </c>
      <c r="E96" s="32" t="s">
        <v>142</v>
      </c>
      <c r="F96" s="31" t="s">
        <v>237</v>
      </c>
      <c r="G96" s="38">
        <f>Sheet1!I88</f>
        <v>0</v>
      </c>
      <c r="H96" s="38">
        <f>Sheet1!J88</f>
        <v>0</v>
      </c>
    </row>
    <row r="97" spans="1:8" ht="22.5" customHeight="1" hidden="1">
      <c r="A97" s="38"/>
      <c r="B97" s="34" t="s">
        <v>82</v>
      </c>
      <c r="C97" s="38">
        <f>Sheet1!D89</f>
        <v>0</v>
      </c>
      <c r="D97" s="38">
        <f>Sheet1!E89</f>
        <v>0</v>
      </c>
      <c r="E97" s="32" t="s">
        <v>135</v>
      </c>
      <c r="F97" s="31" t="s">
        <v>255</v>
      </c>
      <c r="G97" s="38">
        <f>Sheet1!I89</f>
        <v>0</v>
      </c>
      <c r="H97" s="38">
        <f>Sheet1!J89</f>
        <v>0</v>
      </c>
    </row>
    <row r="98" spans="1:8" ht="22.5" customHeight="1" hidden="1">
      <c r="A98" s="38"/>
      <c r="B98" s="34" t="s">
        <v>82</v>
      </c>
      <c r="C98" s="38">
        <f>Sheet1!D90</f>
        <v>0</v>
      </c>
      <c r="D98" s="38">
        <f>Sheet1!E90</f>
        <v>0</v>
      </c>
      <c r="E98" s="32" t="s">
        <v>131</v>
      </c>
      <c r="F98" s="31" t="s">
        <v>244</v>
      </c>
      <c r="G98" s="38">
        <f>Sheet1!I90</f>
        <v>0</v>
      </c>
      <c r="H98" s="38">
        <f>Sheet1!J90</f>
        <v>0</v>
      </c>
    </row>
    <row r="99" spans="1:8" ht="22.5" customHeight="1">
      <c r="A99" s="40"/>
      <c r="B99" s="34"/>
      <c r="C99" s="38">
        <f>Sheet1!D91</f>
        <v>223200</v>
      </c>
      <c r="D99" s="38">
        <f>Sheet1!E91</f>
        <v>0</v>
      </c>
      <c r="E99" s="32" t="s">
        <v>96</v>
      </c>
      <c r="F99" s="39" t="s">
        <v>245</v>
      </c>
      <c r="G99" s="38">
        <f>Sheet1!I91</f>
        <v>0</v>
      </c>
      <c r="H99" s="38">
        <f>Sheet1!J91</f>
        <v>0</v>
      </c>
    </row>
    <row r="100" spans="1:8" ht="22.5" customHeight="1">
      <c r="A100" s="38"/>
      <c r="B100" s="34"/>
      <c r="C100" s="38">
        <f>Sheet1!D92</f>
        <v>7598664</v>
      </c>
      <c r="D100" s="38" t="str">
        <f>Sheet1!E92</f>
        <v>12</v>
      </c>
      <c r="E100" s="32" t="s">
        <v>21</v>
      </c>
      <c r="F100" s="31" t="s">
        <v>246</v>
      </c>
      <c r="G100" s="38">
        <f>Sheet1!I92</f>
        <v>0</v>
      </c>
      <c r="H100" s="38">
        <f>Sheet1!J92</f>
        <v>0</v>
      </c>
    </row>
    <row r="101" spans="1:8" ht="22.5" customHeight="1">
      <c r="A101" s="40"/>
      <c r="B101" s="34"/>
      <c r="C101" s="38">
        <f>Sheet1!D93</f>
        <v>2917110</v>
      </c>
      <c r="D101" s="38" t="str">
        <f>Sheet1!E93</f>
        <v>56</v>
      </c>
      <c r="E101" s="32" t="s">
        <v>247</v>
      </c>
      <c r="F101" s="39" t="s">
        <v>248</v>
      </c>
      <c r="G101" s="38">
        <f>Sheet1!I93</f>
        <v>0</v>
      </c>
      <c r="H101" s="38">
        <f>Sheet1!J93</f>
        <v>0</v>
      </c>
    </row>
    <row r="102" spans="1:8" ht="22.5" customHeight="1" hidden="1">
      <c r="A102" s="40"/>
      <c r="B102" s="34"/>
      <c r="C102" s="38">
        <f>Sheet1!D94</f>
        <v>0</v>
      </c>
      <c r="D102" s="38">
        <f>Sheet1!E94</f>
        <v>0</v>
      </c>
      <c r="E102" s="32" t="s">
        <v>87</v>
      </c>
      <c r="F102" s="39" t="s">
        <v>256</v>
      </c>
      <c r="G102" s="38">
        <f>Sheet1!I94</f>
        <v>0</v>
      </c>
      <c r="H102" s="38">
        <f>Sheet1!J94</f>
        <v>0</v>
      </c>
    </row>
    <row r="103" spans="1:8" ht="22.5" customHeight="1">
      <c r="A103" s="40"/>
      <c r="B103" s="34"/>
      <c r="C103" s="38">
        <f>Sheet1!D95</f>
        <v>15413011</v>
      </c>
      <c r="D103" s="38" t="str">
        <f>Sheet1!E95</f>
        <v>23</v>
      </c>
      <c r="E103" s="32" t="s">
        <v>11</v>
      </c>
      <c r="F103" s="39" t="s">
        <v>243</v>
      </c>
      <c r="G103" s="38">
        <f>Sheet1!I95</f>
        <v>959192</v>
      </c>
      <c r="H103" s="38" t="str">
        <f>Sheet1!J95</f>
        <v>28</v>
      </c>
    </row>
    <row r="104" spans="1:8" ht="22.5" customHeight="1">
      <c r="A104" s="40"/>
      <c r="B104" s="34"/>
      <c r="C104" s="38">
        <f>Sheet1!D96</f>
        <v>4941200</v>
      </c>
      <c r="D104" s="38" t="str">
        <f>Sheet1!E96</f>
        <v>44</v>
      </c>
      <c r="E104" s="32" t="s">
        <v>12</v>
      </c>
      <c r="F104" s="39" t="s">
        <v>110</v>
      </c>
      <c r="G104" s="38">
        <f>Sheet1!I96</f>
        <v>553192</v>
      </c>
      <c r="H104" s="38" t="str">
        <f>Sheet1!J96</f>
        <v>05</v>
      </c>
    </row>
    <row r="105" spans="1:8" ht="22.5" customHeight="1">
      <c r="A105" s="40"/>
      <c r="B105" s="34"/>
      <c r="C105" s="38">
        <f>Sheet1!D97</f>
        <v>628338</v>
      </c>
      <c r="D105" s="38" t="str">
        <f>Sheet1!E97</f>
        <v>81</v>
      </c>
      <c r="E105" s="32" t="s">
        <v>257</v>
      </c>
      <c r="F105" s="39" t="s">
        <v>258</v>
      </c>
      <c r="G105" s="38">
        <f>Sheet1!I97</f>
        <v>0</v>
      </c>
      <c r="H105" s="38">
        <f>Sheet1!J97</f>
        <v>0</v>
      </c>
    </row>
    <row r="106" spans="1:8" ht="22.5" customHeight="1">
      <c r="A106" s="40"/>
      <c r="B106" s="34"/>
      <c r="C106" s="38">
        <f>Sheet1!D98</f>
        <v>125363</v>
      </c>
      <c r="D106" s="38">
        <f>Sheet1!E98</f>
        <v>0</v>
      </c>
      <c r="E106" s="32" t="s">
        <v>188</v>
      </c>
      <c r="F106" s="31" t="s">
        <v>219</v>
      </c>
      <c r="G106" s="38">
        <f>Sheet1!I98</f>
        <v>0</v>
      </c>
      <c r="H106" s="38">
        <f>Sheet1!J98</f>
        <v>0</v>
      </c>
    </row>
    <row r="107" spans="1:8" ht="22.5" customHeight="1">
      <c r="A107" s="40"/>
      <c r="B107" s="34"/>
      <c r="C107" s="38">
        <f>Sheet1!D99</f>
        <v>1553000</v>
      </c>
      <c r="D107" s="38">
        <f>Sheet1!E99</f>
        <v>0</v>
      </c>
      <c r="E107" s="33" t="s">
        <v>170</v>
      </c>
      <c r="F107" s="31" t="s">
        <v>219</v>
      </c>
      <c r="G107" s="38">
        <f>Sheet1!I99</f>
        <v>0</v>
      </c>
      <c r="H107" s="38">
        <f>Sheet1!J99</f>
        <v>0</v>
      </c>
    </row>
    <row r="108" spans="1:8" ht="22.5" customHeight="1">
      <c r="A108" s="40"/>
      <c r="B108" s="34"/>
      <c r="C108" s="38">
        <f>Sheet1!D100</f>
        <v>43000</v>
      </c>
      <c r="D108" s="38">
        <f>Sheet1!E100</f>
        <v>0</v>
      </c>
      <c r="E108" s="33" t="s">
        <v>199</v>
      </c>
      <c r="F108" s="31" t="s">
        <v>219</v>
      </c>
      <c r="G108" s="38">
        <f>Sheet1!I100</f>
        <v>0</v>
      </c>
      <c r="H108" s="38">
        <f>Sheet1!J100</f>
        <v>0</v>
      </c>
    </row>
    <row r="109" spans="1:8" ht="22.5" customHeight="1" hidden="1">
      <c r="A109" s="40"/>
      <c r="B109" s="34"/>
      <c r="C109" s="38">
        <f>Sheet1!D101</f>
        <v>0</v>
      </c>
      <c r="D109" s="38">
        <f>Sheet1!E101</f>
        <v>0</v>
      </c>
      <c r="E109" s="33" t="s">
        <v>171</v>
      </c>
      <c r="F109" s="31" t="s">
        <v>219</v>
      </c>
      <c r="G109" s="38">
        <f>Sheet1!I101</f>
        <v>0</v>
      </c>
      <c r="H109" s="38">
        <f>Sheet1!J101</f>
        <v>0</v>
      </c>
    </row>
    <row r="110" spans="1:8" ht="22.5" customHeight="1">
      <c r="A110" s="40"/>
      <c r="B110" s="34"/>
      <c r="C110" s="38">
        <f>Sheet1!D102</f>
        <v>19348200</v>
      </c>
      <c r="D110" s="38">
        <f>Sheet1!E102</f>
        <v>0</v>
      </c>
      <c r="E110" s="130" t="s">
        <v>283</v>
      </c>
      <c r="F110" s="31" t="s">
        <v>219</v>
      </c>
      <c r="G110" s="38">
        <f>Sheet1!I102</f>
        <v>3780100</v>
      </c>
      <c r="H110" s="38">
        <f>Sheet1!J102</f>
        <v>0</v>
      </c>
    </row>
    <row r="111" spans="1:8" ht="22.5" customHeight="1">
      <c r="A111" s="40"/>
      <c r="B111" s="34"/>
      <c r="C111" s="38">
        <f>Sheet1!D103</f>
        <v>3152000</v>
      </c>
      <c r="D111" s="38">
        <f>Sheet1!E103</f>
        <v>0</v>
      </c>
      <c r="E111" s="33" t="s">
        <v>284</v>
      </c>
      <c r="F111" s="31" t="s">
        <v>219</v>
      </c>
      <c r="G111" s="38">
        <f>Sheet1!I103</f>
        <v>608800</v>
      </c>
      <c r="H111" s="38">
        <f>Sheet1!J103</f>
        <v>0</v>
      </c>
    </row>
    <row r="112" spans="1:8" ht="22.5" customHeight="1">
      <c r="A112" s="40"/>
      <c r="B112" s="34"/>
      <c r="C112" s="38">
        <f>Sheet1!D104</f>
        <v>501580</v>
      </c>
      <c r="D112" s="38">
        <f>Sheet1!E104</f>
        <v>0</v>
      </c>
      <c r="E112" s="103" t="s">
        <v>172</v>
      </c>
      <c r="F112" s="31" t="s">
        <v>219</v>
      </c>
      <c r="G112" s="38">
        <f>Sheet1!I104</f>
        <v>68710</v>
      </c>
      <c r="H112" s="38">
        <f>Sheet1!J104</f>
        <v>0</v>
      </c>
    </row>
    <row r="113" spans="1:8" ht="22.5" customHeight="1">
      <c r="A113" s="40"/>
      <c r="B113" s="34"/>
      <c r="C113" s="38">
        <f>Sheet1!D105</f>
        <v>317700</v>
      </c>
      <c r="D113" s="38">
        <f>Sheet1!E105</f>
        <v>0</v>
      </c>
      <c r="E113" s="103" t="s">
        <v>173</v>
      </c>
      <c r="F113" s="31" t="s">
        <v>219</v>
      </c>
      <c r="G113" s="38">
        <f>Sheet1!I105</f>
        <v>9400</v>
      </c>
      <c r="H113" s="38">
        <f>Sheet1!J106</f>
        <v>0</v>
      </c>
    </row>
    <row r="114" spans="1:8" ht="22.5" customHeight="1">
      <c r="A114" s="40"/>
      <c r="B114" s="34"/>
      <c r="C114" s="38">
        <f>Sheet1!D106</f>
        <v>18115</v>
      </c>
      <c r="D114" s="38">
        <f>Sheet1!E106</f>
        <v>0</v>
      </c>
      <c r="E114" s="103" t="s">
        <v>174</v>
      </c>
      <c r="F114" s="31" t="s">
        <v>219</v>
      </c>
      <c r="G114" s="38">
        <f>Sheet1!I106</f>
        <v>570</v>
      </c>
      <c r="H114" s="38">
        <f>Sheet1!J106</f>
        <v>0</v>
      </c>
    </row>
    <row r="115" spans="1:8" ht="22.5" customHeight="1">
      <c r="A115" s="40"/>
      <c r="B115" s="34"/>
      <c r="C115" s="38">
        <f>Sheet1!D107</f>
        <v>56000</v>
      </c>
      <c r="D115" s="38">
        <f>Sheet1!E107</f>
        <v>0</v>
      </c>
      <c r="E115" s="141" t="s">
        <v>288</v>
      </c>
      <c r="F115" s="31" t="s">
        <v>219</v>
      </c>
      <c r="G115" s="38">
        <f>Sheet1!I107</f>
        <v>2000</v>
      </c>
      <c r="H115" s="38">
        <f>Sheet1!J107</f>
        <v>0</v>
      </c>
    </row>
    <row r="116" spans="1:8" ht="22.5" customHeight="1">
      <c r="A116" s="40"/>
      <c r="B116" s="34"/>
      <c r="C116" s="38">
        <f>Sheet1!D108</f>
        <v>23024</v>
      </c>
      <c r="D116" s="38">
        <f>Sheet1!E108</f>
        <v>0</v>
      </c>
      <c r="E116" s="103" t="s">
        <v>307</v>
      </c>
      <c r="F116" s="31" t="s">
        <v>219</v>
      </c>
      <c r="G116" s="38">
        <f>Sheet1!I108</f>
        <v>0</v>
      </c>
      <c r="H116" s="38">
        <f>Sheet1!J108</f>
        <v>0</v>
      </c>
    </row>
    <row r="117" spans="1:8" ht="22.5" customHeight="1">
      <c r="A117" s="40"/>
      <c r="B117" s="34"/>
      <c r="C117" s="38">
        <f>Sheet1!D109</f>
        <v>460477</v>
      </c>
      <c r="D117" s="38" t="str">
        <f>Sheet1!E109</f>
        <v>44</v>
      </c>
      <c r="E117" s="103" t="s">
        <v>173</v>
      </c>
      <c r="F117" s="31" t="s">
        <v>219</v>
      </c>
      <c r="G117" s="38">
        <f>Sheet1!I109</f>
        <v>0</v>
      </c>
      <c r="H117" s="38">
        <f>Sheet1!J109</f>
        <v>0</v>
      </c>
    </row>
    <row r="118" spans="1:8" ht="22.5" customHeight="1">
      <c r="A118" s="40"/>
      <c r="B118" s="34"/>
      <c r="C118" s="38">
        <f>Sheet1!D110</f>
        <v>6000</v>
      </c>
      <c r="D118" s="38">
        <f>Sheet1!E110</f>
        <v>0</v>
      </c>
      <c r="E118" s="103" t="s">
        <v>175</v>
      </c>
      <c r="F118" s="31" t="s">
        <v>219</v>
      </c>
      <c r="G118" s="38">
        <f>Sheet1!I110</f>
        <v>0</v>
      </c>
      <c r="H118" s="38">
        <f>Sheet1!J110</f>
        <v>0</v>
      </c>
    </row>
    <row r="119" spans="1:8" ht="22.5" customHeight="1">
      <c r="A119" s="40"/>
      <c r="B119" s="34"/>
      <c r="C119" s="38">
        <f>Sheet1!D111</f>
        <v>132620</v>
      </c>
      <c r="D119" s="38">
        <f>Sheet1!E111</f>
        <v>0</v>
      </c>
      <c r="E119" s="103" t="s">
        <v>176</v>
      </c>
      <c r="F119" s="31" t="s">
        <v>219</v>
      </c>
      <c r="G119" s="38">
        <f>Sheet1!I111</f>
        <v>0</v>
      </c>
      <c r="H119" s="38">
        <f>Sheet1!J111</f>
        <v>0</v>
      </c>
    </row>
    <row r="120" spans="1:8" ht="22.5" customHeight="1">
      <c r="A120" s="40"/>
      <c r="B120" s="34"/>
      <c r="C120" s="38">
        <f>Sheet1!D112</f>
        <v>11876</v>
      </c>
      <c r="D120" s="38">
        <f>Sheet1!E112</f>
        <v>0</v>
      </c>
      <c r="E120" s="103" t="s">
        <v>216</v>
      </c>
      <c r="F120" s="31" t="s">
        <v>219</v>
      </c>
      <c r="G120" s="38">
        <f>Sheet1!I112</f>
        <v>0</v>
      </c>
      <c r="H120" s="38">
        <f>Sheet1!J112</f>
        <v>0</v>
      </c>
    </row>
    <row r="121" spans="1:8" ht="22.5" customHeight="1">
      <c r="A121" s="40"/>
      <c r="B121" s="34"/>
      <c r="C121" s="38">
        <f>Sheet1!D113</f>
        <v>98122</v>
      </c>
      <c r="D121" s="38">
        <f>Sheet1!E113</f>
        <v>0</v>
      </c>
      <c r="E121" s="103" t="s">
        <v>177</v>
      </c>
      <c r="F121" s="31" t="s">
        <v>219</v>
      </c>
      <c r="G121" s="38">
        <f>Sheet1!I113</f>
        <v>0</v>
      </c>
      <c r="H121" s="38">
        <f>Sheet1!J113</f>
        <v>0</v>
      </c>
    </row>
    <row r="122" spans="1:8" ht="22.5" customHeight="1">
      <c r="A122" s="40"/>
      <c r="B122" s="34"/>
      <c r="C122" s="38">
        <f>Sheet1!D114</f>
        <v>6844</v>
      </c>
      <c r="D122" s="38">
        <f>Sheet1!E114</f>
        <v>0</v>
      </c>
      <c r="E122" s="103" t="s">
        <v>217</v>
      </c>
      <c r="F122" s="31" t="s">
        <v>219</v>
      </c>
      <c r="G122" s="38">
        <f>Sheet1!I114</f>
        <v>0</v>
      </c>
      <c r="H122" s="38">
        <f>Sheet1!J114</f>
        <v>0</v>
      </c>
    </row>
    <row r="123" spans="1:8" ht="22.5" customHeight="1">
      <c r="A123" s="40"/>
      <c r="B123" s="34"/>
      <c r="C123" s="38">
        <f>Sheet1!D115</f>
        <v>28170</v>
      </c>
      <c r="D123" s="38">
        <f>Sheet1!E115</f>
        <v>0</v>
      </c>
      <c r="E123" s="103" t="s">
        <v>178</v>
      </c>
      <c r="F123" s="31" t="s">
        <v>219</v>
      </c>
      <c r="G123" s="38">
        <f>Sheet1!I115</f>
        <v>0</v>
      </c>
      <c r="H123" s="38">
        <f>Sheet1!J115</f>
        <v>0</v>
      </c>
    </row>
    <row r="124" spans="1:8" ht="22.5" customHeight="1">
      <c r="A124" s="40"/>
      <c r="B124" s="34"/>
      <c r="C124" s="38">
        <f>Sheet1!D116</f>
        <v>102722</v>
      </c>
      <c r="D124" s="38">
        <f>Sheet1!E116</f>
        <v>0</v>
      </c>
      <c r="E124" s="103" t="s">
        <v>179</v>
      </c>
      <c r="F124" s="31" t="s">
        <v>219</v>
      </c>
      <c r="G124" s="38">
        <f>Sheet1!I116</f>
        <v>0</v>
      </c>
      <c r="H124" s="38">
        <f>Sheet1!J116</f>
        <v>0</v>
      </c>
    </row>
    <row r="125" spans="1:8" ht="22.5" customHeight="1">
      <c r="A125" s="40"/>
      <c r="B125" s="34"/>
      <c r="C125" s="38">
        <f>Sheet1!D117</f>
        <v>2854</v>
      </c>
      <c r="D125" s="38">
        <f>Sheet1!E117</f>
        <v>0</v>
      </c>
      <c r="E125" s="103" t="s">
        <v>223</v>
      </c>
      <c r="F125" s="31" t="s">
        <v>219</v>
      </c>
      <c r="G125" s="38">
        <f>Sheet1!I117</f>
        <v>0</v>
      </c>
      <c r="H125" s="38">
        <f>Sheet1!J117</f>
        <v>0</v>
      </c>
    </row>
    <row r="126" spans="1:8" ht="22.5" customHeight="1">
      <c r="A126" s="40"/>
      <c r="B126" s="34"/>
      <c r="C126" s="38">
        <f>Sheet1!D118</f>
        <v>36000</v>
      </c>
      <c r="D126" s="38">
        <f>Sheet1!E118</f>
        <v>0</v>
      </c>
      <c r="E126" s="103" t="s">
        <v>180</v>
      </c>
      <c r="F126" s="31" t="s">
        <v>219</v>
      </c>
      <c r="G126" s="38">
        <f>Sheet1!I118</f>
        <v>0</v>
      </c>
      <c r="H126" s="38">
        <f>Sheet1!J118</f>
        <v>0</v>
      </c>
    </row>
    <row r="127" spans="1:8" ht="22.5" customHeight="1">
      <c r="A127" s="40"/>
      <c r="B127" s="34"/>
      <c r="C127" s="38">
        <f>Sheet1!D119</f>
        <v>75010</v>
      </c>
      <c r="D127" s="38">
        <f>Sheet1!E119</f>
        <v>0</v>
      </c>
      <c r="E127" s="103" t="s">
        <v>181</v>
      </c>
      <c r="F127" s="31" t="s">
        <v>219</v>
      </c>
      <c r="G127" s="38">
        <f>Sheet1!I119</f>
        <v>0</v>
      </c>
      <c r="H127" s="38">
        <f>Sheet1!J119</f>
        <v>0</v>
      </c>
    </row>
    <row r="128" spans="1:8" ht="22.5" customHeight="1">
      <c r="A128" s="40"/>
      <c r="B128" s="34"/>
      <c r="C128" s="38">
        <f>Sheet1!D120</f>
        <v>72264</v>
      </c>
      <c r="D128" s="38">
        <f>Sheet1!E120</f>
        <v>0</v>
      </c>
      <c r="E128" s="103" t="s">
        <v>308</v>
      </c>
      <c r="F128" s="31" t="s">
        <v>219</v>
      </c>
      <c r="G128" s="38">
        <f>Sheet1!I120</f>
        <v>0</v>
      </c>
      <c r="H128" s="38">
        <f>Sheet1!J120</f>
        <v>0</v>
      </c>
    </row>
    <row r="129" spans="1:8" ht="22.5" customHeight="1" thickBot="1">
      <c r="A129" s="212" t="s">
        <v>227</v>
      </c>
      <c r="B129" s="212"/>
      <c r="C129" s="212"/>
      <c r="D129" s="212"/>
      <c r="E129" s="212"/>
      <c r="F129" s="212"/>
      <c r="G129" s="212"/>
      <c r="H129" s="212"/>
    </row>
    <row r="130" spans="1:8" ht="22.5" customHeight="1" thickTop="1">
      <c r="A130" s="210" t="s">
        <v>0</v>
      </c>
      <c r="B130" s="213"/>
      <c r="C130" s="213"/>
      <c r="D130" s="211"/>
      <c r="E130" s="183" t="s">
        <v>4</v>
      </c>
      <c r="F130" s="41" t="s">
        <v>5</v>
      </c>
      <c r="G130" s="210" t="s">
        <v>7</v>
      </c>
      <c r="H130" s="211"/>
    </row>
    <row r="131" spans="1:8" ht="22.5" customHeight="1">
      <c r="A131" s="180" t="s">
        <v>1</v>
      </c>
      <c r="B131" s="181"/>
      <c r="C131" s="196" t="s">
        <v>3</v>
      </c>
      <c r="D131" s="197"/>
      <c r="E131" s="183"/>
      <c r="F131" s="41" t="s">
        <v>6</v>
      </c>
      <c r="G131" s="180" t="s">
        <v>3</v>
      </c>
      <c r="H131" s="181"/>
    </row>
    <row r="132" spans="1:8" ht="22.5" customHeight="1" thickBot="1">
      <c r="A132" s="198" t="s">
        <v>2</v>
      </c>
      <c r="B132" s="199"/>
      <c r="C132" s="198" t="s">
        <v>2</v>
      </c>
      <c r="D132" s="199"/>
      <c r="E132" s="184"/>
      <c r="F132" s="93"/>
      <c r="G132" s="176" t="s">
        <v>2</v>
      </c>
      <c r="H132" s="177"/>
    </row>
    <row r="133" spans="1:8" ht="22.5" customHeight="1" thickTop="1">
      <c r="A133" s="40"/>
      <c r="B133" s="34"/>
      <c r="C133" s="38">
        <f>Sheet1!D121</f>
        <v>34200</v>
      </c>
      <c r="D133" s="38">
        <f>Sheet1!E121</f>
        <v>0</v>
      </c>
      <c r="E133" s="103" t="s">
        <v>328</v>
      </c>
      <c r="F133" s="31" t="s">
        <v>219</v>
      </c>
      <c r="G133" s="38">
        <f>Sheet1!I121</f>
        <v>0</v>
      </c>
      <c r="H133" s="38">
        <f>Sheet1!J121</f>
        <v>0</v>
      </c>
    </row>
    <row r="134" spans="1:8" ht="22.5" customHeight="1">
      <c r="A134" s="40"/>
      <c r="B134" s="34"/>
      <c r="C134" s="38">
        <f>Sheet1!D122</f>
        <v>1710</v>
      </c>
      <c r="D134" s="38">
        <f>Sheet1!E122</f>
        <v>0</v>
      </c>
      <c r="E134" s="103" t="s">
        <v>329</v>
      </c>
      <c r="F134" s="31" t="s">
        <v>219</v>
      </c>
      <c r="G134" s="38">
        <f>Sheet1!I122</f>
        <v>0</v>
      </c>
      <c r="H134" s="38">
        <f>Sheet1!J122</f>
        <v>0</v>
      </c>
    </row>
    <row r="135" spans="1:8" ht="22.5" customHeight="1">
      <c r="A135" s="40"/>
      <c r="B135" s="34"/>
      <c r="C135" s="38">
        <f>Sheet1!D123</f>
        <v>0</v>
      </c>
      <c r="D135" s="38">
        <f>Sheet1!E123</f>
        <v>0</v>
      </c>
      <c r="E135" s="103" t="s">
        <v>184</v>
      </c>
      <c r="F135" s="31" t="s">
        <v>219</v>
      </c>
      <c r="G135" s="38">
        <f>Sheet1!I123</f>
        <v>0</v>
      </c>
      <c r="H135" s="38">
        <f>Sheet1!J123</f>
        <v>0</v>
      </c>
    </row>
    <row r="136" spans="1:8" ht="22.5" customHeight="1">
      <c r="A136" s="40"/>
      <c r="B136" s="34"/>
      <c r="C136" s="38">
        <f>Sheet1!D124</f>
        <v>10500</v>
      </c>
      <c r="D136" s="38">
        <f>Sheet1!E124</f>
        <v>0</v>
      </c>
      <c r="E136" s="103" t="s">
        <v>287</v>
      </c>
      <c r="F136" s="31" t="s">
        <v>219</v>
      </c>
      <c r="G136" s="38">
        <f>Sheet1!I124</f>
        <v>0</v>
      </c>
      <c r="H136" s="38">
        <f>Sheet1!J124</f>
        <v>0</v>
      </c>
    </row>
    <row r="137" spans="1:8" ht="22.5" customHeight="1">
      <c r="A137" s="40"/>
      <c r="B137" s="34"/>
      <c r="C137" s="38">
        <f>Sheet1!D125</f>
        <v>21000</v>
      </c>
      <c r="D137" s="38">
        <f>Sheet1!E125</f>
        <v>0</v>
      </c>
      <c r="E137" s="103" t="s">
        <v>185</v>
      </c>
      <c r="F137" s="31" t="s">
        <v>219</v>
      </c>
      <c r="G137" s="38">
        <f>Sheet1!I125</f>
        <v>0</v>
      </c>
      <c r="H137" s="38">
        <f>Sheet1!J125</f>
        <v>0</v>
      </c>
    </row>
    <row r="138" spans="1:8" ht="22.5" customHeight="1">
      <c r="A138" s="40"/>
      <c r="B138" s="34"/>
      <c r="C138" s="38">
        <f>Sheet1!D126</f>
        <v>14140</v>
      </c>
      <c r="D138" s="38">
        <f>Sheet1!E126</f>
        <v>0</v>
      </c>
      <c r="E138" s="103" t="s">
        <v>210</v>
      </c>
      <c r="F138" s="31" t="s">
        <v>219</v>
      </c>
      <c r="G138" s="38">
        <f>Sheet1!I126</f>
        <v>0</v>
      </c>
      <c r="H138" s="38">
        <f>Sheet1!J126</f>
        <v>0</v>
      </c>
    </row>
    <row r="139" spans="1:8" ht="22.5" customHeight="1">
      <c r="A139" s="40"/>
      <c r="B139" s="34"/>
      <c r="C139" s="38">
        <f>Sheet1!D127</f>
        <v>0</v>
      </c>
      <c r="D139" s="38">
        <f>Sheet1!E127</f>
        <v>0</v>
      </c>
      <c r="E139" s="103" t="s">
        <v>196</v>
      </c>
      <c r="F139" s="31" t="s">
        <v>219</v>
      </c>
      <c r="G139" s="38">
        <f>Sheet1!I127</f>
        <v>0</v>
      </c>
      <c r="H139" s="38">
        <f>Sheet1!J127</f>
        <v>0</v>
      </c>
    </row>
    <row r="140" spans="1:8" ht="22.5" customHeight="1">
      <c r="A140" s="40"/>
      <c r="B140" s="34"/>
      <c r="C140" s="38">
        <f>Sheet1!D128</f>
        <v>0</v>
      </c>
      <c r="D140" s="38">
        <f>Sheet1!E128</f>
        <v>0</v>
      </c>
      <c r="E140" s="103" t="s">
        <v>197</v>
      </c>
      <c r="F140" s="31" t="s">
        <v>219</v>
      </c>
      <c r="G140" s="38">
        <f>Sheet1!I128</f>
        <v>0</v>
      </c>
      <c r="H140" s="38">
        <f>Sheet1!J128</f>
        <v>0</v>
      </c>
    </row>
    <row r="141" spans="1:8" ht="22.5" customHeight="1">
      <c r="A141" s="40"/>
      <c r="B141" s="34"/>
      <c r="C141" s="38">
        <f>Sheet1!D129</f>
        <v>0</v>
      </c>
      <c r="D141" s="38">
        <f>Sheet1!E129</f>
        <v>0</v>
      </c>
      <c r="E141" s="103" t="s">
        <v>198</v>
      </c>
      <c r="F141" s="31" t="s">
        <v>219</v>
      </c>
      <c r="G141" s="38">
        <f>Sheet1!I129</f>
        <v>0</v>
      </c>
      <c r="H141" s="38">
        <f>Sheet1!J129</f>
        <v>0</v>
      </c>
    </row>
    <row r="142" spans="1:8" ht="22.5" customHeight="1">
      <c r="A142" s="40"/>
      <c r="B142" s="34"/>
      <c r="C142" s="38"/>
      <c r="D142" s="38"/>
      <c r="E142" s="103"/>
      <c r="F142" s="31"/>
      <c r="G142" s="38"/>
      <c r="H142" s="38"/>
    </row>
    <row r="143" spans="1:8" ht="22.5" customHeight="1">
      <c r="A143" s="96">
        <f>SUM(A77:A114)</f>
        <v>215000000</v>
      </c>
      <c r="B143" s="96">
        <f>SUM(B77:B114)</f>
        <v>0</v>
      </c>
      <c r="C143" s="97">
        <f>Sheet1!D134</f>
        <v>214666582</v>
      </c>
      <c r="D143" s="97" t="str">
        <f>Sheet1!E134</f>
        <v>76</v>
      </c>
      <c r="E143" s="41" t="s">
        <v>23</v>
      </c>
      <c r="F143" s="98"/>
      <c r="G143" s="97">
        <f>Sheet1!I134</f>
        <v>19493968</v>
      </c>
      <c r="H143" s="97" t="str">
        <f>Sheet1!J134</f>
        <v>31</v>
      </c>
    </row>
    <row r="144" spans="1:11" ht="22.5" customHeight="1">
      <c r="A144" s="51"/>
      <c r="B144" s="99"/>
      <c r="C144" s="100"/>
      <c r="D144" s="100"/>
      <c r="E144" s="41" t="s">
        <v>24</v>
      </c>
      <c r="F144" s="98"/>
      <c r="G144" s="100"/>
      <c r="H144" s="100"/>
      <c r="K144" s="24" t="s">
        <v>331</v>
      </c>
    </row>
    <row r="145" spans="1:8" ht="22.5" customHeight="1">
      <c r="A145" s="51"/>
      <c r="B145" s="99"/>
      <c r="C145" s="101">
        <f>Sheet1!D135</f>
        <v>-1293339</v>
      </c>
      <c r="D145" s="101" t="str">
        <f>Sheet1!E135</f>
        <v>05</v>
      </c>
      <c r="E145" s="41" t="s">
        <v>27</v>
      </c>
      <c r="F145" s="98"/>
      <c r="G145" s="101">
        <f>Sheet1!I135</f>
        <v>1911557</v>
      </c>
      <c r="H145" s="101" t="str">
        <f>Sheet1!J135</f>
        <v>69</v>
      </c>
    </row>
    <row r="146" spans="1:8" ht="22.5" customHeight="1">
      <c r="A146" s="51"/>
      <c r="B146" s="99"/>
      <c r="C146" s="101"/>
      <c r="D146" s="101"/>
      <c r="E146" s="41" t="s">
        <v>28</v>
      </c>
      <c r="F146" s="98"/>
      <c r="G146" s="101"/>
      <c r="H146" s="101"/>
    </row>
    <row r="147" spans="1:8" ht="22.5" customHeight="1" thickBot="1">
      <c r="A147" s="51"/>
      <c r="B147" s="99"/>
      <c r="C147" s="94">
        <f>Sheet1!D136</f>
        <v>56799452</v>
      </c>
      <c r="D147" s="94" t="str">
        <f>Sheet1!E136</f>
        <v>35</v>
      </c>
      <c r="E147" s="41" t="s">
        <v>25</v>
      </c>
      <c r="F147" s="102"/>
      <c r="G147" s="95">
        <f>Sheet1!I136</f>
        <v>56793652</v>
      </c>
      <c r="H147" s="95" t="str">
        <f>Sheet1!J136</f>
        <v>35</v>
      </c>
    </row>
    <row r="148" ht="21" customHeight="1" thickTop="1"/>
    <row r="149" ht="21" customHeight="1"/>
    <row r="150" ht="21" customHeight="1"/>
    <row r="151" ht="21" customHeight="1">
      <c r="C151" s="24" t="s">
        <v>331</v>
      </c>
    </row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</sheetData>
  <sheetProtection/>
  <mergeCells count="31">
    <mergeCell ref="G132:H132"/>
    <mergeCell ref="A129:H129"/>
    <mergeCell ref="A130:D130"/>
    <mergeCell ref="E130:E132"/>
    <mergeCell ref="C132:D132"/>
    <mergeCell ref="E4:E6"/>
    <mergeCell ref="G131:H131"/>
    <mergeCell ref="G4:H4"/>
    <mergeCell ref="C46:D46"/>
    <mergeCell ref="A75:H75"/>
    <mergeCell ref="C45:D45"/>
    <mergeCell ref="A45:B45"/>
    <mergeCell ref="A132:B132"/>
    <mergeCell ref="A46:B46"/>
    <mergeCell ref="A2:H2"/>
    <mergeCell ref="A4:D4"/>
    <mergeCell ref="A5:B5"/>
    <mergeCell ref="A6:B6"/>
    <mergeCell ref="C6:D6"/>
    <mergeCell ref="C131:D131"/>
    <mergeCell ref="G44:H44"/>
    <mergeCell ref="A131:B131"/>
    <mergeCell ref="G6:H6"/>
    <mergeCell ref="G130:H130"/>
    <mergeCell ref="G46:H46"/>
    <mergeCell ref="G5:H5"/>
    <mergeCell ref="G45:H45"/>
    <mergeCell ref="E44:E46"/>
    <mergeCell ref="A44:D44"/>
    <mergeCell ref="C5:D5"/>
    <mergeCell ref="A43:H43"/>
  </mergeCells>
  <printOptions/>
  <pageMargins left="0.2755905511811024" right="0.1968503937007874" top="0.1968503937007874" bottom="0.2" header="0.15748031496062992" footer="0.15748031496062992"/>
  <pageSetup horizontalDpi="600" verticalDpi="600" orientation="portrait" paperSize="9" scale="85" r:id="rId2"/>
  <rowBreaks count="3" manualBreakCount="3">
    <brk id="42" max="23" man="1"/>
    <brk id="74" max="23" man="1"/>
    <brk id="128" max="2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="136" zoomScaleSheetLayoutView="136" zoomScalePageLayoutView="0" workbookViewId="0" topLeftCell="A56">
      <selection activeCell="F19" sqref="F19"/>
    </sheetView>
  </sheetViews>
  <sheetFormatPr defaultColWidth="9.140625" defaultRowHeight="21.75" customHeight="1"/>
  <cols>
    <col min="1" max="1" width="5.7109375" style="43" customWidth="1"/>
    <col min="2" max="2" width="7.7109375" style="43" customWidth="1"/>
    <col min="3" max="3" width="47.8515625" style="43" customWidth="1"/>
    <col min="4" max="4" width="10.00390625" style="43" customWidth="1"/>
    <col min="5" max="5" width="18.421875" style="43" customWidth="1"/>
    <col min="6" max="6" width="19.140625" style="43" customWidth="1"/>
    <col min="7" max="8" width="9.140625" style="43" customWidth="1"/>
    <col min="9" max="9" width="16.421875" style="43" bestFit="1" customWidth="1"/>
    <col min="10" max="16384" width="9.140625" style="43" customWidth="1"/>
  </cols>
  <sheetData>
    <row r="1" spans="1:6" ht="23.25" customHeight="1">
      <c r="A1" s="217" t="s">
        <v>261</v>
      </c>
      <c r="B1" s="217"/>
      <c r="C1" s="217"/>
      <c r="D1" s="217"/>
      <c r="E1" s="217"/>
      <c r="F1" s="217"/>
    </row>
    <row r="2" spans="1:6" ht="23.25" customHeight="1">
      <c r="A2" s="217" t="s">
        <v>52</v>
      </c>
      <c r="B2" s="217"/>
      <c r="C2" s="217"/>
      <c r="D2" s="217"/>
      <c r="E2" s="217"/>
      <c r="F2" s="217"/>
    </row>
    <row r="3" spans="1:6" ht="23.25" customHeight="1">
      <c r="A3" s="215" t="s">
        <v>349</v>
      </c>
      <c r="B3" s="215"/>
      <c r="C3" s="215"/>
      <c r="D3" s="215"/>
      <c r="E3" s="215"/>
      <c r="F3" s="215"/>
    </row>
    <row r="4" spans="1:6" ht="23.25" customHeight="1">
      <c r="A4" s="218" t="s">
        <v>4</v>
      </c>
      <c r="B4" s="219"/>
      <c r="C4" s="220"/>
      <c r="D4" s="62" t="s">
        <v>53</v>
      </c>
      <c r="E4" s="62" t="s">
        <v>54</v>
      </c>
      <c r="F4" s="62" t="s">
        <v>55</v>
      </c>
    </row>
    <row r="5" spans="1:6" ht="22.5" customHeight="1" hidden="1">
      <c r="A5" s="63" t="s">
        <v>68</v>
      </c>
      <c r="B5" s="64"/>
      <c r="C5" s="65"/>
      <c r="D5" s="66">
        <v>111100</v>
      </c>
      <c r="E5" s="56">
        <v>0</v>
      </c>
      <c r="F5" s="67"/>
    </row>
    <row r="6" spans="1:6" ht="22.5" customHeight="1">
      <c r="A6" s="68" t="s">
        <v>56</v>
      </c>
      <c r="B6" s="69"/>
      <c r="C6" s="70"/>
      <c r="D6" s="71" t="s">
        <v>309</v>
      </c>
      <c r="E6" s="44">
        <v>33427736.28</v>
      </c>
      <c r="F6" s="44"/>
    </row>
    <row r="7" spans="1:6" ht="22.5" customHeight="1">
      <c r="A7" s="72" t="s">
        <v>84</v>
      </c>
      <c r="B7" s="73"/>
      <c r="C7" s="74"/>
      <c r="D7" s="71" t="s">
        <v>309</v>
      </c>
      <c r="E7" s="44">
        <v>8343.72</v>
      </c>
      <c r="F7" s="44"/>
    </row>
    <row r="8" spans="1:6" ht="22.5" customHeight="1">
      <c r="A8" s="72" t="s">
        <v>81</v>
      </c>
      <c r="B8" s="73"/>
      <c r="C8" s="74"/>
      <c r="D8" s="71" t="s">
        <v>310</v>
      </c>
      <c r="E8" s="44">
        <v>5394170.68</v>
      </c>
      <c r="F8" s="44"/>
    </row>
    <row r="9" spans="1:6" ht="22.5" customHeight="1">
      <c r="A9" s="72" t="s">
        <v>76</v>
      </c>
      <c r="B9" s="73"/>
      <c r="C9" s="74"/>
      <c r="D9" s="71" t="s">
        <v>311</v>
      </c>
      <c r="E9" s="44">
        <v>6997615.76</v>
      </c>
      <c r="F9" s="44"/>
    </row>
    <row r="10" spans="1:6" ht="22.5" customHeight="1">
      <c r="A10" s="72" t="s">
        <v>162</v>
      </c>
      <c r="B10" s="73"/>
      <c r="C10" s="74"/>
      <c r="D10" s="71" t="s">
        <v>309</v>
      </c>
      <c r="E10" s="44">
        <v>496978.16</v>
      </c>
      <c r="F10" s="44"/>
    </row>
    <row r="11" spans="1:6" ht="22.5" customHeight="1">
      <c r="A11" s="72" t="s">
        <v>163</v>
      </c>
      <c r="B11" s="73"/>
      <c r="C11" s="74"/>
      <c r="D11" s="71" t="s">
        <v>310</v>
      </c>
      <c r="E11" s="44">
        <v>10000000</v>
      </c>
      <c r="F11" s="44"/>
    </row>
    <row r="12" spans="1:6" ht="22.5" customHeight="1">
      <c r="A12" s="72" t="s">
        <v>189</v>
      </c>
      <c r="B12" s="73"/>
      <c r="C12" s="74"/>
      <c r="D12" s="71" t="s">
        <v>309</v>
      </c>
      <c r="E12" s="44">
        <v>468807.75</v>
      </c>
      <c r="F12" s="44"/>
    </row>
    <row r="13" spans="1:9" ht="22.5" customHeight="1">
      <c r="A13" s="76" t="s">
        <v>29</v>
      </c>
      <c r="B13" s="77"/>
      <c r="C13" s="78"/>
      <c r="D13" s="120" t="s">
        <v>258</v>
      </c>
      <c r="E13" s="115">
        <v>8903852.12</v>
      </c>
      <c r="F13" s="44"/>
      <c r="I13" s="111">
        <f>+E12+E11+E10+E9+E8+E7+E6</f>
        <v>56793652.35</v>
      </c>
    </row>
    <row r="14" spans="1:6" ht="22.5" customHeight="1">
      <c r="A14" s="72" t="s">
        <v>133</v>
      </c>
      <c r="B14" s="73"/>
      <c r="C14" s="74"/>
      <c r="D14" s="71" t="s">
        <v>253</v>
      </c>
      <c r="E14" s="44">
        <v>88852383</v>
      </c>
      <c r="F14" s="44"/>
    </row>
    <row r="15" spans="1:6" ht="22.5" customHeight="1" hidden="1">
      <c r="A15" s="72" t="s">
        <v>120</v>
      </c>
      <c r="B15" s="73"/>
      <c r="C15" s="74"/>
      <c r="D15" s="71" t="s">
        <v>251</v>
      </c>
      <c r="E15" s="44"/>
      <c r="F15" s="44"/>
    </row>
    <row r="16" spans="1:6" ht="22.5" customHeight="1">
      <c r="A16" s="72" t="s">
        <v>50</v>
      </c>
      <c r="B16" s="73"/>
      <c r="C16" s="74"/>
      <c r="D16" s="71" t="s">
        <v>236</v>
      </c>
      <c r="E16" s="44">
        <v>101642</v>
      </c>
      <c r="F16" s="44"/>
    </row>
    <row r="17" spans="1:6" ht="22.5" customHeight="1" hidden="1">
      <c r="A17" s="72" t="s">
        <v>74</v>
      </c>
      <c r="B17" s="73"/>
      <c r="C17" s="74"/>
      <c r="D17" s="71" t="s">
        <v>237</v>
      </c>
      <c r="E17" s="44"/>
      <c r="F17" s="44"/>
    </row>
    <row r="18" spans="1:6" ht="22.5" customHeight="1">
      <c r="A18" s="72" t="s">
        <v>83</v>
      </c>
      <c r="B18" s="73"/>
      <c r="C18" s="74"/>
      <c r="D18" s="71" t="s">
        <v>238</v>
      </c>
      <c r="E18" s="44">
        <v>116257</v>
      </c>
      <c r="F18" s="44"/>
    </row>
    <row r="19" spans="1:6" ht="22.5" customHeight="1">
      <c r="A19" s="72" t="s">
        <v>69</v>
      </c>
      <c r="B19" s="73"/>
      <c r="C19" s="74"/>
      <c r="D19" s="71" t="s">
        <v>239</v>
      </c>
      <c r="E19" s="44">
        <v>253700</v>
      </c>
      <c r="F19" s="44"/>
    </row>
    <row r="20" spans="1:6" ht="22.5" customHeight="1">
      <c r="A20" s="72" t="s">
        <v>116</v>
      </c>
      <c r="B20" s="73"/>
      <c r="C20" s="74"/>
      <c r="D20" s="71" t="s">
        <v>240</v>
      </c>
      <c r="E20" s="115">
        <v>450700</v>
      </c>
      <c r="F20" s="44"/>
    </row>
    <row r="21" spans="1:6" ht="22.5" customHeight="1" hidden="1">
      <c r="A21" s="72" t="s">
        <v>259</v>
      </c>
      <c r="B21" s="73"/>
      <c r="C21" s="74"/>
      <c r="D21" s="71" t="s">
        <v>242</v>
      </c>
      <c r="E21" s="115"/>
      <c r="F21" s="44"/>
    </row>
    <row r="22" spans="1:6" ht="22.5" customHeight="1">
      <c r="A22" s="72" t="s">
        <v>14</v>
      </c>
      <c r="B22" s="73"/>
      <c r="C22" s="74"/>
      <c r="D22" s="71" t="s">
        <v>249</v>
      </c>
      <c r="E22" s="44">
        <v>6315676.17</v>
      </c>
      <c r="F22" s="44"/>
    </row>
    <row r="23" spans="1:6" ht="22.5" customHeight="1">
      <c r="A23" s="72" t="s">
        <v>155</v>
      </c>
      <c r="B23" s="73"/>
      <c r="C23" s="74"/>
      <c r="D23" s="71" t="s">
        <v>252</v>
      </c>
      <c r="E23" s="44">
        <v>3032816.12</v>
      </c>
      <c r="F23" s="44"/>
    </row>
    <row r="24" spans="1:6" ht="22.5" customHeight="1">
      <c r="A24" s="72" t="s">
        <v>260</v>
      </c>
      <c r="B24" s="73"/>
      <c r="C24" s="74"/>
      <c r="D24" s="71" t="s">
        <v>250</v>
      </c>
      <c r="E24" s="44">
        <v>18358492.25</v>
      </c>
      <c r="F24" s="44"/>
    </row>
    <row r="25" spans="1:6" ht="22.5" customHeight="1">
      <c r="A25" s="72" t="s">
        <v>276</v>
      </c>
      <c r="B25" s="73"/>
      <c r="C25" s="74"/>
      <c r="D25" s="71" t="s">
        <v>250</v>
      </c>
      <c r="E25" s="44">
        <v>797660</v>
      </c>
      <c r="F25" s="44"/>
    </row>
    <row r="26" spans="1:6" ht="22.5" customHeight="1">
      <c r="A26" s="72" t="s">
        <v>277</v>
      </c>
      <c r="B26" s="73"/>
      <c r="C26" s="74"/>
      <c r="D26" s="71" t="s">
        <v>250</v>
      </c>
      <c r="E26" s="44">
        <v>32103193.86</v>
      </c>
      <c r="F26" s="44"/>
    </row>
    <row r="27" spans="1:6" ht="22.5" customHeight="1">
      <c r="A27" s="72" t="s">
        <v>15</v>
      </c>
      <c r="B27" s="73"/>
      <c r="C27" s="74"/>
      <c r="D27" s="71" t="s">
        <v>38</v>
      </c>
      <c r="E27" s="44">
        <v>1945264.18</v>
      </c>
      <c r="F27" s="44"/>
    </row>
    <row r="28" spans="1:6" ht="22.5" customHeight="1">
      <c r="A28" s="72" t="s">
        <v>16</v>
      </c>
      <c r="B28" s="73"/>
      <c r="C28" s="74"/>
      <c r="D28" s="71" t="s">
        <v>39</v>
      </c>
      <c r="E28" s="44">
        <v>20945425.45</v>
      </c>
      <c r="F28" s="44"/>
    </row>
    <row r="29" spans="1:6" ht="22.5" customHeight="1">
      <c r="A29" s="72" t="s">
        <v>17</v>
      </c>
      <c r="B29" s="73"/>
      <c r="C29" s="74"/>
      <c r="D29" s="71" t="s">
        <v>40</v>
      </c>
      <c r="E29" s="44">
        <v>6648102.76</v>
      </c>
      <c r="F29" s="44"/>
    </row>
    <row r="30" spans="1:6" ht="22.5" customHeight="1">
      <c r="A30" s="72" t="s">
        <v>18</v>
      </c>
      <c r="B30" s="73"/>
      <c r="C30" s="74"/>
      <c r="D30" s="71" t="s">
        <v>41</v>
      </c>
      <c r="E30" s="44">
        <v>1840112.5</v>
      </c>
      <c r="F30" s="44"/>
    </row>
    <row r="31" spans="1:6" ht="22.5" customHeight="1">
      <c r="A31" s="72" t="s">
        <v>19</v>
      </c>
      <c r="B31" s="73"/>
      <c r="C31" s="74"/>
      <c r="D31" s="71" t="s">
        <v>42</v>
      </c>
      <c r="E31" s="44">
        <v>13336043.7</v>
      </c>
      <c r="F31" s="44"/>
    </row>
    <row r="32" spans="1:6" ht="22.5" customHeight="1">
      <c r="A32" s="57" t="s">
        <v>20</v>
      </c>
      <c r="B32" s="75"/>
      <c r="C32" s="74"/>
      <c r="D32" s="58" t="s">
        <v>43</v>
      </c>
      <c r="E32" s="44">
        <v>23143477</v>
      </c>
      <c r="F32" s="44"/>
    </row>
    <row r="33" spans="1:6" ht="22.5" customHeight="1">
      <c r="A33" s="59" t="s">
        <v>10</v>
      </c>
      <c r="B33" s="75"/>
      <c r="C33" s="74"/>
      <c r="D33" s="58" t="s">
        <v>77</v>
      </c>
      <c r="E33" s="44">
        <v>3237000</v>
      </c>
      <c r="F33" s="44"/>
    </row>
    <row r="34" spans="1:6" ht="22.5" customHeight="1" hidden="1">
      <c r="A34" s="59" t="s">
        <v>194</v>
      </c>
      <c r="B34" s="75"/>
      <c r="C34" s="74"/>
      <c r="D34" s="58" t="s">
        <v>195</v>
      </c>
      <c r="E34" s="44"/>
      <c r="F34" s="44"/>
    </row>
    <row r="35" spans="1:9" ht="22.5" customHeight="1">
      <c r="A35" s="72"/>
      <c r="B35" s="73" t="s">
        <v>130</v>
      </c>
      <c r="C35" s="74"/>
      <c r="D35" s="71" t="s">
        <v>312</v>
      </c>
      <c r="E35" s="44"/>
      <c r="F35" s="44">
        <v>144179910.72</v>
      </c>
      <c r="H35" s="43" t="s">
        <v>343</v>
      </c>
      <c r="I35" s="111"/>
    </row>
    <row r="36" spans="1:6" ht="22.5" customHeight="1">
      <c r="A36" s="76"/>
      <c r="B36" s="77" t="s">
        <v>75</v>
      </c>
      <c r="C36" s="78"/>
      <c r="D36" s="71" t="s">
        <v>243</v>
      </c>
      <c r="E36" s="44"/>
      <c r="F36" s="173">
        <v>2965365.48</v>
      </c>
    </row>
    <row r="37" spans="1:6" ht="22.5" customHeight="1">
      <c r="A37" s="76"/>
      <c r="B37" s="77" t="s">
        <v>247</v>
      </c>
      <c r="C37" s="78"/>
      <c r="D37" s="71" t="s">
        <v>248</v>
      </c>
      <c r="E37" s="44"/>
      <c r="F37" s="44">
        <v>82889.44</v>
      </c>
    </row>
    <row r="38" spans="1:6" ht="22.5" customHeight="1">
      <c r="A38" s="76"/>
      <c r="B38" s="77" t="s">
        <v>21</v>
      </c>
      <c r="C38" s="78"/>
      <c r="D38" s="71" t="s">
        <v>246</v>
      </c>
      <c r="E38" s="44"/>
      <c r="F38" s="44">
        <v>103835.88</v>
      </c>
    </row>
    <row r="39" spans="1:6" ht="22.5" customHeight="1" hidden="1">
      <c r="A39" s="76"/>
      <c r="B39" s="77" t="s">
        <v>96</v>
      </c>
      <c r="C39" s="78"/>
      <c r="D39" s="71" t="s">
        <v>245</v>
      </c>
      <c r="E39" s="44"/>
      <c r="F39" s="44"/>
    </row>
    <row r="40" spans="1:6" ht="22.5" customHeight="1">
      <c r="A40" s="76"/>
      <c r="B40" s="77" t="s">
        <v>132</v>
      </c>
      <c r="C40" s="78"/>
      <c r="D40" s="71" t="s">
        <v>255</v>
      </c>
      <c r="E40" s="44"/>
      <c r="F40" s="44">
        <v>4539616.21</v>
      </c>
    </row>
    <row r="41" spans="1:6" ht="22.5" customHeight="1">
      <c r="A41" s="76"/>
      <c r="B41" s="77" t="s">
        <v>131</v>
      </c>
      <c r="C41" s="78"/>
      <c r="D41" s="71" t="s">
        <v>244</v>
      </c>
      <c r="E41" s="44"/>
      <c r="F41" s="44">
        <v>30279469.44</v>
      </c>
    </row>
    <row r="42" spans="1:6" ht="22.5" customHeight="1">
      <c r="A42" s="76"/>
      <c r="B42" s="77" t="s">
        <v>12</v>
      </c>
      <c r="C42" s="78"/>
      <c r="D42" s="120" t="s">
        <v>110</v>
      </c>
      <c r="E42" s="115"/>
      <c r="F42" s="115">
        <v>66493015.53</v>
      </c>
    </row>
    <row r="43" spans="1:10" s="24" customFormat="1" ht="20.25" customHeight="1">
      <c r="A43" s="118" t="s">
        <v>22</v>
      </c>
      <c r="B43" s="118"/>
      <c r="C43" s="118"/>
      <c r="D43" s="118"/>
      <c r="E43" s="118"/>
      <c r="F43" s="118"/>
      <c r="G43" s="117"/>
      <c r="H43" s="117"/>
      <c r="J43" s="61"/>
    </row>
    <row r="44" spans="1:6" ht="22.5" customHeight="1">
      <c r="A44" s="214" t="s">
        <v>4</v>
      </c>
      <c r="B44" s="215"/>
      <c r="C44" s="216"/>
      <c r="D44" s="116" t="s">
        <v>53</v>
      </c>
      <c r="E44" s="116" t="s">
        <v>54</v>
      </c>
      <c r="F44" s="116" t="s">
        <v>55</v>
      </c>
    </row>
    <row r="45" spans="1:6" ht="22.5" customHeight="1">
      <c r="A45" s="76"/>
      <c r="B45" s="77" t="s">
        <v>88</v>
      </c>
      <c r="C45" s="78"/>
      <c r="D45" s="71" t="s">
        <v>57</v>
      </c>
      <c r="E45" s="44"/>
      <c r="F45" s="44">
        <v>33680872.76</v>
      </c>
    </row>
    <row r="46" spans="1:6" ht="22.5" customHeight="1">
      <c r="A46" s="132"/>
      <c r="B46" s="73" t="s">
        <v>170</v>
      </c>
      <c r="C46" s="78"/>
      <c r="D46" s="110" t="s">
        <v>219</v>
      </c>
      <c r="E46" s="133"/>
      <c r="F46" s="133">
        <v>8400</v>
      </c>
    </row>
    <row r="47" spans="1:6" ht="22.5" customHeight="1">
      <c r="A47" s="132"/>
      <c r="B47" s="73" t="s">
        <v>278</v>
      </c>
      <c r="C47" s="78"/>
      <c r="D47" s="110" t="s">
        <v>219</v>
      </c>
      <c r="E47" s="133"/>
      <c r="F47" s="133">
        <v>3574300</v>
      </c>
    </row>
    <row r="48" spans="1:6" ht="22.5" customHeight="1">
      <c r="A48" s="132"/>
      <c r="B48" s="73" t="s">
        <v>279</v>
      </c>
      <c r="C48" s="78"/>
      <c r="D48" s="110" t="s">
        <v>219</v>
      </c>
      <c r="E48" s="133"/>
      <c r="F48" s="133">
        <v>676000</v>
      </c>
    </row>
    <row r="49" spans="1:6" ht="22.5" customHeight="1">
      <c r="A49" s="132"/>
      <c r="B49" s="73" t="s">
        <v>289</v>
      </c>
      <c r="C49" s="78"/>
      <c r="D49" s="110" t="s">
        <v>219</v>
      </c>
      <c r="E49" s="133"/>
      <c r="F49" s="133">
        <v>131290</v>
      </c>
    </row>
    <row r="50" spans="1:6" ht="22.5" customHeight="1">
      <c r="A50" s="132"/>
      <c r="B50" s="73" t="s">
        <v>290</v>
      </c>
      <c r="C50" s="78"/>
      <c r="D50" s="110" t="s">
        <v>219</v>
      </c>
      <c r="E50" s="133"/>
      <c r="F50" s="133">
        <v>111200</v>
      </c>
    </row>
    <row r="51" spans="1:6" ht="22.5" customHeight="1">
      <c r="A51" s="132"/>
      <c r="B51" s="73" t="s">
        <v>291</v>
      </c>
      <c r="C51" s="78"/>
      <c r="D51" s="110" t="s">
        <v>219</v>
      </c>
      <c r="E51" s="133"/>
      <c r="F51" s="133">
        <v>22000</v>
      </c>
    </row>
    <row r="52" spans="1:6" ht="22.5" customHeight="1">
      <c r="A52" s="132"/>
      <c r="B52" s="73" t="s">
        <v>292</v>
      </c>
      <c r="C52" s="78"/>
      <c r="D52" s="110" t="s">
        <v>219</v>
      </c>
      <c r="E52" s="133"/>
      <c r="F52" s="133">
        <v>8280</v>
      </c>
    </row>
    <row r="53" spans="1:6" ht="22.5" customHeight="1">
      <c r="A53" s="132"/>
      <c r="B53" s="73" t="s">
        <v>286</v>
      </c>
      <c r="C53" s="78"/>
      <c r="D53" s="110" t="s">
        <v>219</v>
      </c>
      <c r="E53" s="133"/>
      <c r="F53" s="133">
        <v>229500</v>
      </c>
    </row>
    <row r="54" spans="1:6" ht="22.5" customHeight="1">
      <c r="A54" s="132"/>
      <c r="B54" s="73" t="s">
        <v>293</v>
      </c>
      <c r="C54" s="78"/>
      <c r="D54" s="110" t="s">
        <v>219</v>
      </c>
      <c r="E54" s="133"/>
      <c r="F54" s="133">
        <v>29500</v>
      </c>
    </row>
    <row r="55" spans="1:6" ht="22.5" customHeight="1">
      <c r="A55" s="132"/>
      <c r="B55" s="73" t="s">
        <v>316</v>
      </c>
      <c r="C55" s="143"/>
      <c r="D55" s="110" t="s">
        <v>219</v>
      </c>
      <c r="E55" s="133"/>
      <c r="F55" s="133">
        <v>2780</v>
      </c>
    </row>
    <row r="56" spans="1:6" ht="22.5" customHeight="1">
      <c r="A56" s="132"/>
      <c r="B56" s="73" t="s">
        <v>323</v>
      </c>
      <c r="C56" s="143"/>
      <c r="D56" s="110" t="s">
        <v>219</v>
      </c>
      <c r="E56" s="133"/>
      <c r="F56" s="133">
        <v>54500</v>
      </c>
    </row>
    <row r="57" spans="1:6" ht="22.5" customHeight="1">
      <c r="A57" s="132"/>
      <c r="B57" s="73" t="s">
        <v>324</v>
      </c>
      <c r="C57" s="143"/>
      <c r="D57" s="110" t="s">
        <v>219</v>
      </c>
      <c r="E57" s="133"/>
      <c r="F57" s="133">
        <v>2725</v>
      </c>
    </row>
    <row r="58" spans="1:6" ht="22.5" customHeight="1">
      <c r="A58" s="124"/>
      <c r="B58" s="125"/>
      <c r="C58" s="126"/>
      <c r="D58" s="127"/>
      <c r="E58" s="128"/>
      <c r="F58" s="129"/>
    </row>
    <row r="59" spans="1:9" ht="22.5" customHeight="1">
      <c r="A59" s="79"/>
      <c r="B59" s="80"/>
      <c r="C59" s="81"/>
      <c r="D59" s="82"/>
      <c r="E59" s="83">
        <f>SUM(E6:E58)</f>
        <v>287175450.46</v>
      </c>
      <c r="F59" s="83">
        <f>SUM(F6:F58)</f>
        <v>287175450.46</v>
      </c>
      <c r="I59" s="111">
        <f>E59-F59</f>
        <v>0</v>
      </c>
    </row>
    <row r="60" spans="1:6" ht="22.5" customHeight="1">
      <c r="A60" s="84"/>
      <c r="B60" s="84"/>
      <c r="C60" s="85"/>
      <c r="D60" s="86"/>
      <c r="E60" s="87"/>
      <c r="F60" s="87"/>
    </row>
    <row r="61" spans="1:6" ht="22.5" customHeight="1">
      <c r="A61" s="84"/>
      <c r="B61" s="84"/>
      <c r="C61" s="85"/>
      <c r="D61" s="86"/>
      <c r="E61" s="87"/>
      <c r="F61" s="87"/>
    </row>
    <row r="62" spans="1:6" ht="22.5" customHeight="1">
      <c r="A62" s="84"/>
      <c r="B62" s="84"/>
      <c r="C62" s="85"/>
      <c r="D62" s="86"/>
      <c r="E62" s="87"/>
      <c r="F62" s="87"/>
    </row>
    <row r="63" spans="1:6" ht="22.5" customHeight="1">
      <c r="A63" s="84"/>
      <c r="B63" s="84"/>
      <c r="C63" s="85"/>
      <c r="D63" s="86"/>
      <c r="E63" s="87"/>
      <c r="F63" s="87"/>
    </row>
    <row r="64" spans="1:6" ht="22.5" customHeight="1">
      <c r="A64" s="84"/>
      <c r="B64" s="84"/>
      <c r="C64" s="85"/>
      <c r="D64" s="86"/>
      <c r="E64" s="87"/>
      <c r="F64" s="87"/>
    </row>
    <row r="65" spans="1:6" ht="22.5" customHeight="1">
      <c r="A65" s="84"/>
      <c r="B65" s="84"/>
      <c r="C65" s="85"/>
      <c r="D65" s="86"/>
      <c r="E65" s="87"/>
      <c r="F65" s="87"/>
    </row>
    <row r="66" spans="1:6" ht="22.5" customHeight="1">
      <c r="A66" s="84"/>
      <c r="B66" s="84"/>
      <c r="C66" s="85"/>
      <c r="D66" s="86"/>
      <c r="E66" s="87"/>
      <c r="F66" s="87"/>
    </row>
    <row r="67" spans="1:6" ht="22.5" customHeight="1">
      <c r="A67" s="84"/>
      <c r="B67" s="84"/>
      <c r="C67" s="85"/>
      <c r="D67" s="86"/>
      <c r="E67" s="87"/>
      <c r="F67" s="87"/>
    </row>
    <row r="68" spans="1:6" ht="22.5" customHeight="1">
      <c r="A68" s="84"/>
      <c r="B68" s="84"/>
      <c r="C68" s="85"/>
      <c r="D68" s="86"/>
      <c r="E68" s="87"/>
      <c r="F68" s="87"/>
    </row>
    <row r="69" spans="1:6" ht="22.5" customHeight="1">
      <c r="A69" s="84"/>
      <c r="B69" s="84"/>
      <c r="C69" s="85"/>
      <c r="D69" s="86"/>
      <c r="E69" s="87"/>
      <c r="F69" s="87"/>
    </row>
    <row r="70" spans="1:6" ht="22.5" customHeight="1">
      <c r="A70" s="84"/>
      <c r="B70" s="84"/>
      <c r="C70" s="85"/>
      <c r="D70" s="86"/>
      <c r="E70" s="87"/>
      <c r="F70" s="87"/>
    </row>
    <row r="71" spans="1:6" ht="22.5" customHeight="1">
      <c r="A71" s="84"/>
      <c r="B71" s="84"/>
      <c r="C71" s="85"/>
      <c r="D71" s="86"/>
      <c r="E71" s="87"/>
      <c r="F71" s="87"/>
    </row>
    <row r="72" spans="1:6" ht="22.5" customHeight="1">
      <c r="A72" s="84"/>
      <c r="B72" s="84"/>
      <c r="C72" s="85"/>
      <c r="D72" s="86"/>
      <c r="E72" s="87"/>
      <c r="F72" s="87"/>
    </row>
    <row r="73" spans="1:6" ht="23.25" customHeight="1">
      <c r="A73" s="84"/>
      <c r="B73" s="84"/>
      <c r="C73" s="85"/>
      <c r="D73" s="86"/>
      <c r="E73" s="87"/>
      <c r="F73" s="87"/>
    </row>
    <row r="74" spans="1:6" ht="23.25" customHeight="1">
      <c r="A74" s="84"/>
      <c r="B74" s="84"/>
      <c r="C74" s="85"/>
      <c r="D74" s="86"/>
      <c r="E74" s="87"/>
      <c r="F74" s="87"/>
    </row>
    <row r="75" spans="1:6" ht="23.25" customHeight="1">
      <c r="A75" s="84"/>
      <c r="B75" s="84"/>
      <c r="C75" s="85"/>
      <c r="D75" s="86"/>
      <c r="E75" s="87"/>
      <c r="F75" s="87"/>
    </row>
    <row r="76" spans="1:6" ht="23.25" customHeight="1">
      <c r="A76" s="84"/>
      <c r="B76" s="84"/>
      <c r="C76" s="85"/>
      <c r="D76" s="86"/>
      <c r="E76" s="87"/>
      <c r="F76" s="87"/>
    </row>
    <row r="77" spans="1:6" ht="23.25" customHeight="1">
      <c r="A77" s="84"/>
      <c r="B77" s="84"/>
      <c r="C77" s="85"/>
      <c r="D77" s="86"/>
      <c r="E77" s="87"/>
      <c r="F77" s="87"/>
    </row>
    <row r="78" spans="1:6" ht="23.25" customHeight="1">
      <c r="A78" s="84"/>
      <c r="B78" s="84"/>
      <c r="C78" s="85"/>
      <c r="D78" s="86"/>
      <c r="E78" s="87"/>
      <c r="F78" s="87"/>
    </row>
    <row r="79" spans="1:6" ht="23.25" customHeight="1">
      <c r="A79" s="84"/>
      <c r="B79" s="84"/>
      <c r="C79" s="85"/>
      <c r="D79" s="86"/>
      <c r="E79" s="87"/>
      <c r="F79" s="87"/>
    </row>
    <row r="80" spans="1:6" ht="23.25" customHeight="1">
      <c r="A80" s="84"/>
      <c r="B80" s="84"/>
      <c r="C80" s="85"/>
      <c r="D80" s="86"/>
      <c r="E80" s="87"/>
      <c r="F80" s="87"/>
    </row>
    <row r="81" spans="1:6" ht="21.75" customHeight="1">
      <c r="A81" s="84"/>
      <c r="B81" s="84"/>
      <c r="C81" s="85"/>
      <c r="D81" s="86"/>
      <c r="E81" s="87"/>
      <c r="F81" s="87"/>
    </row>
    <row r="82" spans="1:6" ht="21.75" customHeight="1">
      <c r="A82" s="84"/>
      <c r="B82" s="84"/>
      <c r="C82" s="85"/>
      <c r="D82" s="86"/>
      <c r="E82" s="87"/>
      <c r="F82" s="87"/>
    </row>
  </sheetData>
  <sheetProtection/>
  <mergeCells count="5">
    <mergeCell ref="A44:C44"/>
    <mergeCell ref="A1:F1"/>
    <mergeCell ref="A2:F2"/>
    <mergeCell ref="A3:F3"/>
    <mergeCell ref="A4:C4"/>
  </mergeCells>
  <printOptions/>
  <pageMargins left="0.32" right="0.1968503937007874" top="0.33" bottom="0.26" header="0.15748031496062992" footer="0.12"/>
  <pageSetup horizontalDpi="600" verticalDpi="600" orientation="portrait" paperSize="9" scale="96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31">
      <selection activeCell="C6" sqref="C6"/>
    </sheetView>
  </sheetViews>
  <sheetFormatPr defaultColWidth="9.140625" defaultRowHeight="21.75"/>
  <cols>
    <col min="1" max="1" width="40.140625" style="4" customWidth="1"/>
    <col min="2" max="2" width="16.140625" style="4" customWidth="1"/>
    <col min="3" max="3" width="15.57421875" style="4" customWidth="1"/>
    <col min="4" max="4" width="15.421875" style="4" customWidth="1"/>
    <col min="5" max="5" width="15.7109375" style="137" bestFit="1" customWidth="1"/>
    <col min="6" max="16384" width="9.140625" style="4" customWidth="1"/>
  </cols>
  <sheetData>
    <row r="1" spans="1:5" ht="23.25">
      <c r="A1" s="221" t="s">
        <v>261</v>
      </c>
      <c r="B1" s="221"/>
      <c r="C1" s="221"/>
      <c r="D1" s="221"/>
      <c r="E1" s="221"/>
    </row>
    <row r="2" spans="1:7" ht="23.25">
      <c r="A2" s="221" t="s">
        <v>58</v>
      </c>
      <c r="B2" s="221"/>
      <c r="C2" s="221"/>
      <c r="D2" s="221"/>
      <c r="E2" s="221"/>
      <c r="G2" s="4" t="s">
        <v>344</v>
      </c>
    </row>
    <row r="3" spans="1:5" ht="23.25">
      <c r="A3" s="221" t="s">
        <v>361</v>
      </c>
      <c r="B3" s="221"/>
      <c r="C3" s="221"/>
      <c r="D3" s="221"/>
      <c r="E3" s="221"/>
    </row>
    <row r="4" spans="1:5" ht="23.25">
      <c r="A4" s="9"/>
      <c r="B4" s="9"/>
      <c r="C4" s="9"/>
      <c r="D4" s="9"/>
      <c r="E4" s="9"/>
    </row>
    <row r="5" spans="1:6" ht="23.25">
      <c r="A5" s="10" t="s">
        <v>11</v>
      </c>
      <c r="B5" s="20" t="s">
        <v>73</v>
      </c>
      <c r="C5" s="11" t="s">
        <v>59</v>
      </c>
      <c r="D5" s="11" t="s">
        <v>60</v>
      </c>
      <c r="E5" s="11" t="s">
        <v>61</v>
      </c>
      <c r="F5" s="6"/>
    </row>
    <row r="6" spans="1:5" ht="23.25">
      <c r="A6" s="12" t="s">
        <v>62</v>
      </c>
      <c r="B6" s="13">
        <v>65222.28</v>
      </c>
      <c r="C6" s="14">
        <f>1200+43949.16</f>
        <v>45149.16</v>
      </c>
      <c r="D6" s="13">
        <v>65222.28</v>
      </c>
      <c r="E6" s="13">
        <f aca="true" t="shared" si="0" ref="E6:E23">+B6+C6-D6</f>
        <v>45149.16</v>
      </c>
    </row>
    <row r="7" spans="1:5" ht="23.25">
      <c r="A7" s="12" t="s">
        <v>64</v>
      </c>
      <c r="B7" s="15">
        <v>46084.8</v>
      </c>
      <c r="C7" s="16">
        <v>95.05</v>
      </c>
      <c r="D7" s="15"/>
      <c r="E7" s="15">
        <f t="shared" si="0"/>
        <v>46179.850000000006</v>
      </c>
    </row>
    <row r="8" spans="1:5" ht="23.25">
      <c r="A8" s="12" t="s">
        <v>97</v>
      </c>
      <c r="B8" s="15">
        <v>228570</v>
      </c>
      <c r="C8" s="16"/>
      <c r="D8" s="15"/>
      <c r="E8" s="15">
        <f t="shared" si="0"/>
        <v>228570</v>
      </c>
    </row>
    <row r="9" spans="1:5" ht="23.25">
      <c r="A9" s="12" t="s">
        <v>63</v>
      </c>
      <c r="B9" s="15">
        <v>1580746</v>
      </c>
      <c r="C9" s="121">
        <v>13006</v>
      </c>
      <c r="D9" s="15">
        <v>125087</v>
      </c>
      <c r="E9" s="15">
        <f t="shared" si="0"/>
        <v>1468665</v>
      </c>
    </row>
    <row r="10" spans="1:5" ht="23.25">
      <c r="A10" s="12" t="s">
        <v>98</v>
      </c>
      <c r="B10" s="15">
        <v>10350</v>
      </c>
      <c r="C10" s="15"/>
      <c r="D10" s="15"/>
      <c r="E10" s="15">
        <f t="shared" si="0"/>
        <v>10350</v>
      </c>
    </row>
    <row r="11" spans="1:5" ht="23.25">
      <c r="A11" s="12" t="s">
        <v>228</v>
      </c>
      <c r="B11" s="15">
        <v>260000</v>
      </c>
      <c r="C11" s="15">
        <v>100000</v>
      </c>
      <c r="D11" s="15"/>
      <c r="E11" s="15">
        <f t="shared" si="0"/>
        <v>360000</v>
      </c>
    </row>
    <row r="12" spans="1:5" ht="23.25">
      <c r="A12" s="12" t="s">
        <v>9</v>
      </c>
      <c r="B12" s="15">
        <v>7433</v>
      </c>
      <c r="C12" s="15">
        <v>5046</v>
      </c>
      <c r="D12" s="15">
        <v>4217</v>
      </c>
      <c r="E12" s="15">
        <f t="shared" si="0"/>
        <v>8262</v>
      </c>
    </row>
    <row r="13" spans="1:5" ht="23.25">
      <c r="A13" s="12" t="s">
        <v>65</v>
      </c>
      <c r="B13" s="15">
        <v>124262.84</v>
      </c>
      <c r="C13" s="15">
        <v>337.88</v>
      </c>
      <c r="D13" s="15"/>
      <c r="E13" s="15">
        <f t="shared" si="0"/>
        <v>124600.72</v>
      </c>
    </row>
    <row r="14" spans="1:5" ht="23.25">
      <c r="A14" s="12" t="s">
        <v>124</v>
      </c>
      <c r="B14" s="15">
        <v>0</v>
      </c>
      <c r="C14" s="16">
        <v>0</v>
      </c>
      <c r="D14" s="16">
        <v>0</v>
      </c>
      <c r="E14" s="15">
        <f t="shared" si="0"/>
        <v>0</v>
      </c>
    </row>
    <row r="15" spans="1:5" ht="23.25">
      <c r="A15" s="12" t="s">
        <v>164</v>
      </c>
      <c r="B15" s="15">
        <v>295</v>
      </c>
      <c r="C15" s="16">
        <v>105</v>
      </c>
      <c r="D15" s="16"/>
      <c r="E15" s="15">
        <f t="shared" si="0"/>
        <v>400</v>
      </c>
    </row>
    <row r="16" spans="1:5" ht="23.25">
      <c r="A16" s="12" t="s">
        <v>157</v>
      </c>
      <c r="B16" s="15">
        <v>1745</v>
      </c>
      <c r="C16" s="16">
        <v>2380</v>
      </c>
      <c r="D16" s="16">
        <v>4125</v>
      </c>
      <c r="E16" s="15">
        <f t="shared" si="0"/>
        <v>0</v>
      </c>
    </row>
    <row r="17" spans="1:5" ht="23.25">
      <c r="A17" s="12" t="s">
        <v>186</v>
      </c>
      <c r="B17" s="15">
        <v>478807.75</v>
      </c>
      <c r="C17" s="16"/>
      <c r="D17" s="16">
        <v>10000</v>
      </c>
      <c r="E17" s="15">
        <f>+B17+C17-D17</f>
        <v>468807.75</v>
      </c>
    </row>
    <row r="18" spans="1:5" ht="23.25">
      <c r="A18" s="12" t="s">
        <v>317</v>
      </c>
      <c r="B18" s="15">
        <v>0</v>
      </c>
      <c r="C18" s="16"/>
      <c r="D18" s="16"/>
      <c r="E18" s="15">
        <f>+B18+C18-D18</f>
        <v>0</v>
      </c>
    </row>
    <row r="19" spans="1:5" ht="23.25">
      <c r="A19" s="24" t="s">
        <v>345</v>
      </c>
      <c r="B19" s="15">
        <v>46460</v>
      </c>
      <c r="C19" s="16"/>
      <c r="D19" s="16"/>
      <c r="E19" s="15">
        <f>+B19+C19-D19</f>
        <v>46460</v>
      </c>
    </row>
    <row r="20" spans="1:5" ht="23.25">
      <c r="A20" s="12" t="s">
        <v>158</v>
      </c>
      <c r="B20" s="15">
        <v>157882</v>
      </c>
      <c r="C20" s="16">
        <v>157921</v>
      </c>
      <c r="D20" s="16">
        <v>157882</v>
      </c>
      <c r="E20" s="15">
        <f t="shared" si="0"/>
        <v>157921</v>
      </c>
    </row>
    <row r="21" spans="1:5" ht="23.25">
      <c r="A21" s="12" t="s">
        <v>72</v>
      </c>
      <c r="B21" s="15">
        <v>0</v>
      </c>
      <c r="C21" s="16">
        <v>68000</v>
      </c>
      <c r="D21" s="16">
        <v>68000</v>
      </c>
      <c r="E21" s="15">
        <f t="shared" si="0"/>
        <v>0</v>
      </c>
    </row>
    <row r="22" spans="1:5" ht="23.25">
      <c r="A22" s="17" t="s">
        <v>70</v>
      </c>
      <c r="B22" s="15">
        <v>0</v>
      </c>
      <c r="C22" s="16">
        <v>272200</v>
      </c>
      <c r="D22" s="16">
        <v>272200</v>
      </c>
      <c r="E22" s="15">
        <f t="shared" si="0"/>
        <v>0</v>
      </c>
    </row>
    <row r="23" spans="1:5" ht="23.25">
      <c r="A23" s="17" t="s">
        <v>71</v>
      </c>
      <c r="B23" s="15">
        <v>0</v>
      </c>
      <c r="C23" s="16">
        <v>252459</v>
      </c>
      <c r="D23" s="16">
        <v>252459</v>
      </c>
      <c r="E23" s="15">
        <f t="shared" si="0"/>
        <v>0</v>
      </c>
    </row>
    <row r="24" spans="1:5" ht="23.25">
      <c r="A24" s="12" t="s">
        <v>331</v>
      </c>
      <c r="B24" s="21"/>
      <c r="C24" s="21">
        <v>0</v>
      </c>
      <c r="D24" s="21"/>
      <c r="E24" s="21"/>
    </row>
    <row r="25" spans="1:5" ht="24" thickBot="1">
      <c r="A25" s="22"/>
      <c r="B25" s="23">
        <f>SUM(B6:B24)</f>
        <v>3007858.67</v>
      </c>
      <c r="C25" s="23">
        <f>SUM(C6:C24)</f>
        <v>916699.0900000001</v>
      </c>
      <c r="D25" s="23">
        <f>SUM(D6:D24)</f>
        <v>959192.28</v>
      </c>
      <c r="E25" s="23">
        <f>SUM(E6:E24)</f>
        <v>2965365.48</v>
      </c>
    </row>
    <row r="26" spans="1:5" ht="24" thickTop="1">
      <c r="A26" s="12"/>
      <c r="B26" s="12"/>
      <c r="C26" s="12"/>
      <c r="D26" s="12"/>
      <c r="E26" s="12"/>
    </row>
    <row r="27" spans="1:5" ht="24" customHeight="1">
      <c r="A27" s="10" t="s">
        <v>66</v>
      </c>
      <c r="B27" s="10"/>
      <c r="C27" s="12"/>
      <c r="D27" s="12"/>
      <c r="E27" s="19"/>
    </row>
    <row r="28" spans="1:5" ht="24" customHeight="1">
      <c r="A28" s="88" t="s">
        <v>99</v>
      </c>
      <c r="B28" s="18"/>
      <c r="C28" s="12"/>
      <c r="D28" s="12"/>
      <c r="E28" s="135" t="s">
        <v>67</v>
      </c>
    </row>
    <row r="29" spans="1:5" ht="23.25">
      <c r="A29" s="12" t="s">
        <v>229</v>
      </c>
      <c r="B29" s="18"/>
      <c r="C29" s="12"/>
      <c r="D29" s="12"/>
      <c r="E29" s="138">
        <v>0</v>
      </c>
    </row>
    <row r="30" spans="1:5" ht="23.25">
      <c r="A30" s="12" t="s">
        <v>230</v>
      </c>
      <c r="B30" s="12"/>
      <c r="C30" s="12"/>
      <c r="D30" s="12"/>
      <c r="E30" s="19">
        <v>0</v>
      </c>
    </row>
    <row r="31" spans="1:5" ht="23.25">
      <c r="A31" s="12" t="s">
        <v>231</v>
      </c>
      <c r="B31" s="12"/>
      <c r="C31" s="12"/>
      <c r="D31" s="12"/>
      <c r="E31" s="19">
        <v>0</v>
      </c>
    </row>
    <row r="32" spans="1:5" ht="24" thickBot="1">
      <c r="A32" s="12"/>
      <c r="B32" s="12"/>
      <c r="C32" s="12"/>
      <c r="D32" s="10" t="s">
        <v>32</v>
      </c>
      <c r="E32" s="136">
        <f>SUM(E29:E31)</f>
        <v>0</v>
      </c>
    </row>
    <row r="33" spans="1:5" ht="24" thickTop="1">
      <c r="A33" s="12"/>
      <c r="B33" s="12"/>
      <c r="C33" s="12"/>
      <c r="D33" s="12"/>
      <c r="E33" s="12"/>
    </row>
    <row r="34" ht="23.25">
      <c r="E34" s="4"/>
    </row>
    <row r="35" ht="23.25">
      <c r="E35" s="4"/>
    </row>
    <row r="36" ht="23.25">
      <c r="E36" s="4"/>
    </row>
  </sheetData>
  <sheetProtection/>
  <mergeCells count="3">
    <mergeCell ref="A1:E1"/>
    <mergeCell ref="A2:E2"/>
    <mergeCell ref="A3:E3"/>
  </mergeCells>
  <printOptions/>
  <pageMargins left="0.59" right="0.22" top="0.42" bottom="0.28" header="0.21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28">
      <selection activeCell="A2" sqref="A2:E2"/>
    </sheetView>
  </sheetViews>
  <sheetFormatPr defaultColWidth="9.140625" defaultRowHeight="21.75"/>
  <cols>
    <col min="1" max="1" width="39.7109375" style="4" customWidth="1"/>
    <col min="2" max="2" width="15.421875" style="4" customWidth="1"/>
    <col min="3" max="3" width="15.7109375" style="4" customWidth="1"/>
    <col min="4" max="4" width="16.00390625" style="4" customWidth="1"/>
    <col min="5" max="5" width="15.7109375" style="4" bestFit="1" customWidth="1"/>
    <col min="6" max="6" width="7.00390625" style="4" customWidth="1"/>
    <col min="7" max="16384" width="9.140625" style="4" customWidth="1"/>
  </cols>
  <sheetData>
    <row r="1" spans="1:5" ht="23.25">
      <c r="A1" s="221" t="s">
        <v>261</v>
      </c>
      <c r="B1" s="221"/>
      <c r="C1" s="221"/>
      <c r="D1" s="221"/>
      <c r="E1" s="221"/>
    </row>
    <row r="2" spans="1:5" ht="23.25">
      <c r="A2" s="221" t="s">
        <v>58</v>
      </c>
      <c r="B2" s="221"/>
      <c r="C2" s="221"/>
      <c r="D2" s="221"/>
      <c r="E2" s="221"/>
    </row>
    <row r="3" spans="1:5" ht="23.25">
      <c r="A3" s="221" t="s">
        <v>350</v>
      </c>
      <c r="B3" s="221"/>
      <c r="C3" s="221"/>
      <c r="D3" s="221"/>
      <c r="E3" s="221"/>
    </row>
    <row r="4" spans="1:5" ht="21" customHeight="1">
      <c r="A4" s="9"/>
      <c r="B4" s="9"/>
      <c r="C4" s="9"/>
      <c r="D4" s="9"/>
      <c r="E4" s="9"/>
    </row>
    <row r="5" spans="1:7" ht="23.25">
      <c r="A5" s="10" t="s">
        <v>11</v>
      </c>
      <c r="B5" s="20" t="s">
        <v>73</v>
      </c>
      <c r="C5" s="11" t="s">
        <v>59</v>
      </c>
      <c r="D5" s="11" t="s">
        <v>60</v>
      </c>
      <c r="E5" s="11" t="s">
        <v>61</v>
      </c>
      <c r="F5" s="6"/>
      <c r="G5" s="4" t="s">
        <v>347</v>
      </c>
    </row>
    <row r="6" spans="1:5" ht="23.25">
      <c r="A6" s="12" t="s">
        <v>62</v>
      </c>
      <c r="B6" s="13">
        <v>104711.54</v>
      </c>
      <c r="C6" s="14">
        <f>31950.93+26021.87+83451.14+77855.7+160342.6+121500.67+53198.92+98106.39+65222.28+45149.16</f>
        <v>762799.66</v>
      </c>
      <c r="D6" s="13">
        <f>104711.54+31986.27+25986.53+83451.14+77855.7+160342.6+121523.41+53176.18+98106.39+65222.28</f>
        <v>822362.0400000002</v>
      </c>
      <c r="E6" s="13">
        <f aca="true" t="shared" si="0" ref="E6:E23">+B6+C6-D6</f>
        <v>45149.159999999916</v>
      </c>
    </row>
    <row r="7" spans="1:5" ht="23.25">
      <c r="A7" s="12" t="s">
        <v>64</v>
      </c>
      <c r="B7" s="15">
        <v>41158.85</v>
      </c>
      <c r="C7" s="16">
        <f>4.5+54.15+1187.2+916.25+662.7+564.7+427.9+1108.55+95.05</f>
        <v>5021</v>
      </c>
      <c r="D7" s="15"/>
      <c r="E7" s="15">
        <f t="shared" si="0"/>
        <v>46179.85</v>
      </c>
    </row>
    <row r="8" spans="1:5" ht="23.25">
      <c r="A8" s="12" t="s">
        <v>97</v>
      </c>
      <c r="B8" s="15">
        <v>0</v>
      </c>
      <c r="C8" s="16">
        <f>1599500+707900+317420+100000</f>
        <v>2724820</v>
      </c>
      <c r="D8" s="15">
        <f>249500+1350000+342550+391000+63200+100000</f>
        <v>2496250</v>
      </c>
      <c r="E8" s="15">
        <f t="shared" si="0"/>
        <v>228570</v>
      </c>
    </row>
    <row r="9" spans="1:5" ht="23.25">
      <c r="A9" s="12" t="s">
        <v>63</v>
      </c>
      <c r="B9" s="15">
        <v>1729024</v>
      </c>
      <c r="C9" s="121">
        <f>76945+158985+143307+539481+177734+157042+26014+63803+108233+13006</f>
        <v>1464550</v>
      </c>
      <c r="D9" s="15">
        <f>163557+22665+66170+4650+149823+118804+4725+118548+950880+125087</f>
        <v>1724909</v>
      </c>
      <c r="E9" s="15">
        <f t="shared" si="0"/>
        <v>1468665</v>
      </c>
    </row>
    <row r="10" spans="1:5" ht="23.25">
      <c r="A10" s="12" t="s">
        <v>98</v>
      </c>
      <c r="B10" s="15">
        <v>10350</v>
      </c>
      <c r="C10" s="15"/>
      <c r="D10" s="15"/>
      <c r="E10" s="15">
        <f t="shared" si="0"/>
        <v>10350</v>
      </c>
    </row>
    <row r="11" spans="1:5" ht="23.25">
      <c r="A11" s="12" t="s">
        <v>228</v>
      </c>
      <c r="B11" s="15">
        <v>260000</v>
      </c>
      <c r="C11" s="15">
        <f>50000+100000+100000+100000</f>
        <v>350000</v>
      </c>
      <c r="D11" s="15">
        <f>150000+100000</f>
        <v>250000</v>
      </c>
      <c r="E11" s="15">
        <f t="shared" si="0"/>
        <v>360000</v>
      </c>
    </row>
    <row r="12" spans="1:5" ht="23.25">
      <c r="A12" s="12" t="s">
        <v>9</v>
      </c>
      <c r="B12" s="15">
        <v>0</v>
      </c>
      <c r="C12" s="15">
        <f>5260+2242+5046</f>
        <v>12548</v>
      </c>
      <c r="D12" s="15">
        <f>69+4217</f>
        <v>4286</v>
      </c>
      <c r="E12" s="15">
        <f t="shared" si="0"/>
        <v>8262</v>
      </c>
    </row>
    <row r="13" spans="1:5" ht="23.25">
      <c r="A13" s="12" t="s">
        <v>65</v>
      </c>
      <c r="B13" s="15">
        <v>319149.16</v>
      </c>
      <c r="C13" s="15">
        <f>238.68+337.88</f>
        <v>576.56</v>
      </c>
      <c r="D13" s="15">
        <v>195125</v>
      </c>
      <c r="E13" s="15">
        <f t="shared" si="0"/>
        <v>124600.71999999997</v>
      </c>
    </row>
    <row r="14" spans="1:5" ht="23.25">
      <c r="A14" s="12" t="s">
        <v>124</v>
      </c>
      <c r="B14" s="15">
        <v>0</v>
      </c>
      <c r="C14" s="16">
        <f>6000+305749.75</f>
        <v>311749.75</v>
      </c>
      <c r="D14" s="16">
        <f>6000+305749.75</f>
        <v>311749.75</v>
      </c>
      <c r="E14" s="15">
        <f t="shared" si="0"/>
        <v>0</v>
      </c>
    </row>
    <row r="15" spans="1:5" ht="23.25">
      <c r="A15" s="12" t="s">
        <v>164</v>
      </c>
      <c r="B15" s="15">
        <v>295</v>
      </c>
      <c r="C15" s="16">
        <v>105</v>
      </c>
      <c r="D15" s="16"/>
      <c r="E15" s="15">
        <f t="shared" si="0"/>
        <v>400</v>
      </c>
    </row>
    <row r="16" spans="1:5" ht="23.25">
      <c r="A16" s="12" t="s">
        <v>157</v>
      </c>
      <c r="B16" s="15">
        <v>2862</v>
      </c>
      <c r="C16" s="16">
        <f>9112+25658+17300+14590+10850+2940+4247+2380</f>
        <v>87077</v>
      </c>
      <c r="D16" s="16">
        <f>485+9112+25658+19677+14590+9380+3980+2932+4125</f>
        <v>89939</v>
      </c>
      <c r="E16" s="15">
        <f t="shared" si="0"/>
        <v>0</v>
      </c>
    </row>
    <row r="17" spans="1:5" ht="23.25">
      <c r="A17" s="12" t="s">
        <v>186</v>
      </c>
      <c r="B17" s="15">
        <v>957921.06</v>
      </c>
      <c r="C17" s="16">
        <f>3468.56+1651050+3340.13</f>
        <v>1657858.69</v>
      </c>
      <c r="D17" s="16">
        <f>7700+950+69396+9336+22870+1119315+530625+309940+66840+10000</f>
        <v>2146972</v>
      </c>
      <c r="E17" s="15">
        <f>+B17+C17-D17</f>
        <v>468807.75</v>
      </c>
    </row>
    <row r="18" spans="1:5" ht="23.25">
      <c r="A18" s="12" t="s">
        <v>317</v>
      </c>
      <c r="B18" s="15">
        <v>0</v>
      </c>
      <c r="C18" s="16">
        <v>20000</v>
      </c>
      <c r="D18" s="16">
        <v>20000</v>
      </c>
      <c r="E18" s="15">
        <f>+B18+C18-D18</f>
        <v>0</v>
      </c>
    </row>
    <row r="19" spans="1:5" ht="23.25">
      <c r="A19" s="24" t="s">
        <v>345</v>
      </c>
      <c r="B19" s="15"/>
      <c r="C19" s="16">
        <v>46460</v>
      </c>
      <c r="D19" s="16"/>
      <c r="E19" s="15">
        <f>+B19+C19-D19</f>
        <v>46460</v>
      </c>
    </row>
    <row r="20" spans="1:5" ht="23.25">
      <c r="A20" s="12" t="s">
        <v>158</v>
      </c>
      <c r="B20" s="15">
        <v>0</v>
      </c>
      <c r="C20" s="16">
        <f>144618+176834+161417+165033+165187+164669+161298+159009+157882+157921</f>
        <v>1613868</v>
      </c>
      <c r="D20" s="16">
        <f>144618+176834+161417+165033+165187+164669+161298+159009+157882</f>
        <v>1455947</v>
      </c>
      <c r="E20" s="15">
        <f t="shared" si="0"/>
        <v>157921</v>
      </c>
    </row>
    <row r="21" spans="1:5" ht="23.25">
      <c r="A21" s="12" t="s">
        <v>72</v>
      </c>
      <c r="B21" s="15">
        <v>0</v>
      </c>
      <c r="C21" s="16">
        <f>63400+63400+61800+61800+61800+61800+61800+64300+64300+68000</f>
        <v>632400</v>
      </c>
      <c r="D21" s="16">
        <f>63400+63400+61800+61800+61800+61800+61800+64300+64300+68000</f>
        <v>632400</v>
      </c>
      <c r="E21" s="15">
        <f t="shared" si="0"/>
        <v>0</v>
      </c>
    </row>
    <row r="22" spans="1:5" ht="23.25">
      <c r="A22" s="17" t="s">
        <v>70</v>
      </c>
      <c r="B22" s="15">
        <v>0</v>
      </c>
      <c r="C22" s="16">
        <f>261300+278300+267300+267300+267300+267300+262300+262300+272200+272200</f>
        <v>2677800</v>
      </c>
      <c r="D22" s="16">
        <f>261300+278300+267300+267300+267300+267300+262300+262300+272200+272200</f>
        <v>2677800</v>
      </c>
      <c r="E22" s="15">
        <f t="shared" si="0"/>
        <v>0</v>
      </c>
    </row>
    <row r="23" spans="1:5" ht="23.25">
      <c r="A23" s="17" t="s">
        <v>71</v>
      </c>
      <c r="B23" s="15">
        <v>0</v>
      </c>
      <c r="C23" s="16">
        <f>268629+267419+265002+271221+262251.55+260358.9+241332+244139.99+252459+252459</f>
        <v>2585271.44</v>
      </c>
      <c r="D23" s="16">
        <f>268629+267419+265002+271221+262251.55+260358.9+241332+244139.99+252459+252459</f>
        <v>2585271.44</v>
      </c>
      <c r="E23" s="15">
        <f t="shared" si="0"/>
        <v>0</v>
      </c>
    </row>
    <row r="24" spans="1:5" ht="23.25">
      <c r="A24" s="12"/>
      <c r="B24" s="21"/>
      <c r="C24" s="21"/>
      <c r="D24" s="21"/>
      <c r="E24" s="21"/>
    </row>
    <row r="25" spans="1:5" ht="24" thickBot="1">
      <c r="A25" s="22"/>
      <c r="B25" s="23">
        <f>SUM(B6:B24)</f>
        <v>3425471.61</v>
      </c>
      <c r="C25" s="23">
        <f>SUM(C6:C24)</f>
        <v>14952905.1</v>
      </c>
      <c r="D25" s="23">
        <f>SUM(D6:D24)</f>
        <v>15413011.229999999</v>
      </c>
      <c r="E25" s="23">
        <f>SUM(E6:E24)</f>
        <v>2965365.4799999995</v>
      </c>
    </row>
    <row r="26" spans="1:5" ht="21" customHeight="1" thickTop="1">
      <c r="A26" s="12"/>
      <c r="B26" s="12"/>
      <c r="C26" s="12"/>
      <c r="D26" s="12"/>
      <c r="E26" s="12"/>
    </row>
    <row r="27" spans="1:5" ht="23.25">
      <c r="A27" s="10" t="s">
        <v>66</v>
      </c>
      <c r="B27" s="10"/>
      <c r="C27" s="12"/>
      <c r="D27" s="12"/>
      <c r="E27" s="19"/>
    </row>
    <row r="28" spans="1:5" ht="24" customHeight="1">
      <c r="A28" s="88" t="s">
        <v>99</v>
      </c>
      <c r="B28" s="18"/>
      <c r="C28" s="12"/>
      <c r="D28" s="12"/>
      <c r="E28" s="135" t="s">
        <v>67</v>
      </c>
    </row>
    <row r="29" spans="1:5" ht="24" customHeight="1">
      <c r="A29" s="12" t="s">
        <v>229</v>
      </c>
      <c r="B29" s="18"/>
      <c r="C29" s="12"/>
      <c r="D29" s="12"/>
      <c r="E29" s="138">
        <f>220000+15000</f>
        <v>235000</v>
      </c>
    </row>
    <row r="30" spans="1:5" ht="23.25">
      <c r="A30" s="12" t="s">
        <v>230</v>
      </c>
      <c r="B30" s="12"/>
      <c r="C30" s="12"/>
      <c r="D30" s="12"/>
      <c r="E30" s="19">
        <f>20000+204500+327890.8</f>
        <v>552390.8</v>
      </c>
    </row>
    <row r="31" spans="1:5" ht="23.25">
      <c r="A31" s="12" t="s">
        <v>231</v>
      </c>
      <c r="B31" s="12"/>
      <c r="C31" s="12"/>
      <c r="D31" s="12"/>
      <c r="E31" s="19">
        <f>1695000+1335860+3780413.32</f>
        <v>6811273.32</v>
      </c>
    </row>
    <row r="32" spans="1:5" ht="24" thickBot="1">
      <c r="A32" s="12"/>
      <c r="B32" s="12"/>
      <c r="C32" s="12"/>
      <c r="D32" s="10" t="s">
        <v>32</v>
      </c>
      <c r="E32" s="136">
        <f>SUM(E29:E31)</f>
        <v>7598664.12</v>
      </c>
    </row>
    <row r="33" spans="1:5" ht="21.75" customHeight="1" thickTop="1">
      <c r="A33" s="12"/>
      <c r="B33" s="12"/>
      <c r="C33" s="12"/>
      <c r="D33" s="12"/>
      <c r="E33" s="12"/>
    </row>
  </sheetData>
  <sheetProtection/>
  <mergeCells count="3">
    <mergeCell ref="A1:E1"/>
    <mergeCell ref="A2:E2"/>
    <mergeCell ref="A3:E3"/>
  </mergeCells>
  <printOptions/>
  <pageMargins left="0.23" right="0.17" top="0.46" bottom="0.26" header="0.33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5"/>
  <sheetViews>
    <sheetView view="pageBreakPreview" zoomScaleSheetLayoutView="100" zoomScalePageLayoutView="0" workbookViewId="0" topLeftCell="D1">
      <selection activeCell="A2" sqref="A2:M2"/>
    </sheetView>
  </sheetViews>
  <sheetFormatPr defaultColWidth="9.140625" defaultRowHeight="21.75"/>
  <cols>
    <col min="1" max="1" width="12.00390625" style="24" customWidth="1"/>
    <col min="2" max="2" width="5.28125" style="24" customWidth="1"/>
    <col min="3" max="3" width="13.57421875" style="24" customWidth="1"/>
    <col min="4" max="4" width="5.57421875" style="24" customWidth="1"/>
    <col min="5" max="5" width="13.00390625" style="24" customWidth="1"/>
    <col min="6" max="6" width="5.28125" style="24" customWidth="1"/>
    <col min="7" max="7" width="13.7109375" style="24" customWidth="1"/>
    <col min="8" max="8" width="5.7109375" style="24" customWidth="1"/>
    <col min="9" max="9" width="50.140625" style="24" customWidth="1"/>
    <col min="10" max="10" width="8.421875" style="24" customWidth="1"/>
    <col min="11" max="11" width="13.7109375" style="24" customWidth="1"/>
    <col min="12" max="12" width="6.8515625" style="61" customWidth="1"/>
    <col min="13" max="13" width="6.00390625" style="24" customWidth="1"/>
    <col min="14" max="14" width="11.421875" style="24" customWidth="1"/>
    <col min="15" max="15" width="9.140625" style="24" customWidth="1"/>
    <col min="16" max="16" width="11.28125" style="24" customWidth="1"/>
    <col min="17" max="16384" width="9.140625" style="24" customWidth="1"/>
  </cols>
  <sheetData>
    <row r="1" spans="1:9" ht="21">
      <c r="A1" s="10" t="s">
        <v>30</v>
      </c>
      <c r="I1" s="10" t="s">
        <v>338</v>
      </c>
    </row>
    <row r="2" spans="1:13" ht="21">
      <c r="A2" s="221" t="s">
        <v>332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ht="21.75" thickBot="1">
      <c r="A3" s="156" t="s">
        <v>337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22"/>
    </row>
    <row r="4" spans="1:13" ht="22.5" thickBot="1" thickTop="1">
      <c r="A4" s="234" t="s">
        <v>0</v>
      </c>
      <c r="B4" s="235"/>
      <c r="C4" s="235"/>
      <c r="D4" s="235"/>
      <c r="E4" s="235"/>
      <c r="F4" s="235"/>
      <c r="G4" s="235"/>
      <c r="H4" s="236"/>
      <c r="I4" s="145"/>
      <c r="J4" s="155"/>
      <c r="K4" s="230" t="s">
        <v>67</v>
      </c>
      <c r="L4" s="231"/>
      <c r="M4" s="148"/>
    </row>
    <row r="5" spans="1:13" ht="21">
      <c r="A5" s="149"/>
      <c r="B5" s="150"/>
      <c r="C5" s="228" t="s">
        <v>333</v>
      </c>
      <c r="D5" s="229"/>
      <c r="E5" s="149"/>
      <c r="F5" s="150"/>
      <c r="G5" s="149"/>
      <c r="H5" s="147"/>
      <c r="I5" s="151" t="s">
        <v>4</v>
      </c>
      <c r="J5" s="152" t="s">
        <v>5</v>
      </c>
      <c r="K5" s="230" t="s">
        <v>7</v>
      </c>
      <c r="L5" s="231"/>
      <c r="M5" s="148"/>
    </row>
    <row r="6" spans="1:13" ht="21">
      <c r="A6" s="230" t="s">
        <v>1</v>
      </c>
      <c r="B6" s="231"/>
      <c r="C6" s="230" t="s">
        <v>334</v>
      </c>
      <c r="D6" s="231"/>
      <c r="E6" s="230" t="s">
        <v>32</v>
      </c>
      <c r="F6" s="231"/>
      <c r="G6" s="230" t="s">
        <v>3</v>
      </c>
      <c r="H6" s="232"/>
      <c r="I6" s="145"/>
      <c r="J6" s="152" t="s">
        <v>6</v>
      </c>
      <c r="K6" s="230" t="s">
        <v>3</v>
      </c>
      <c r="L6" s="231"/>
      <c r="M6" s="148"/>
    </row>
    <row r="7" spans="1:13" ht="21.75" thickBot="1">
      <c r="A7" s="222" t="s">
        <v>336</v>
      </c>
      <c r="B7" s="223"/>
      <c r="C7" s="222" t="s">
        <v>335</v>
      </c>
      <c r="D7" s="223"/>
      <c r="E7" s="222" t="s">
        <v>336</v>
      </c>
      <c r="F7" s="223"/>
      <c r="G7" s="222" t="s">
        <v>336</v>
      </c>
      <c r="H7" s="224"/>
      <c r="I7" s="158"/>
      <c r="J7" s="157"/>
      <c r="K7" s="222" t="s">
        <v>2</v>
      </c>
      <c r="L7" s="223"/>
      <c r="M7" s="148"/>
    </row>
    <row r="8" spans="1:12" ht="21.75" thickTop="1">
      <c r="A8" s="145"/>
      <c r="B8" s="145"/>
      <c r="C8" s="145"/>
      <c r="D8" s="145"/>
      <c r="E8" s="145"/>
      <c r="F8" s="145"/>
      <c r="G8" s="145"/>
      <c r="H8" s="145"/>
      <c r="I8" s="25" t="s">
        <v>8</v>
      </c>
      <c r="J8" s="25"/>
      <c r="K8" s="27">
        <f>Sheet1!M2</f>
        <v>0</v>
      </c>
      <c r="L8" s="27">
        <f>Sheet1!N2</f>
        <v>0</v>
      </c>
    </row>
    <row r="9" spans="1:12" ht="21">
      <c r="A9" s="145"/>
      <c r="B9" s="145"/>
      <c r="C9" s="145"/>
      <c r="D9" s="145"/>
      <c r="E9" s="145"/>
      <c r="F9" s="145"/>
      <c r="G9" s="145"/>
      <c r="H9" s="145"/>
      <c r="I9" s="107" t="s">
        <v>115</v>
      </c>
      <c r="J9" s="28"/>
      <c r="K9" s="28"/>
      <c r="L9" s="28"/>
    </row>
    <row r="10" spans="1:12" ht="21">
      <c r="A10" s="145"/>
      <c r="B10" s="145"/>
      <c r="C10" s="145"/>
      <c r="D10" s="145"/>
      <c r="E10" s="145"/>
      <c r="F10" s="145"/>
      <c r="G10" s="145"/>
      <c r="H10" s="145"/>
      <c r="I10" s="28" t="s">
        <v>101</v>
      </c>
      <c r="J10" s="31" t="s">
        <v>33</v>
      </c>
      <c r="K10" s="29">
        <f>Sheet1!M3</f>
        <v>0</v>
      </c>
      <c r="L10" s="29">
        <f>Sheet1!N3</f>
        <v>0</v>
      </c>
    </row>
    <row r="11" spans="1:12" ht="21">
      <c r="A11" s="145"/>
      <c r="B11" s="145"/>
      <c r="C11" s="145"/>
      <c r="D11" s="145"/>
      <c r="E11" s="145"/>
      <c r="F11" s="145"/>
      <c r="G11" s="145"/>
      <c r="H11" s="145"/>
      <c r="I11" s="28" t="s">
        <v>102</v>
      </c>
      <c r="J11" s="31" t="s">
        <v>34</v>
      </c>
      <c r="K11" s="29">
        <f>Sheet1!M4</f>
        <v>0</v>
      </c>
      <c r="L11" s="29">
        <f>Sheet1!N4</f>
        <v>0</v>
      </c>
    </row>
    <row r="12" spans="1:12" ht="21">
      <c r="A12" s="145"/>
      <c r="B12" s="145"/>
      <c r="C12" s="145"/>
      <c r="D12" s="145"/>
      <c r="E12" s="145"/>
      <c r="F12" s="145"/>
      <c r="G12" s="145"/>
      <c r="H12" s="145"/>
      <c r="I12" s="28" t="s">
        <v>103</v>
      </c>
      <c r="J12" s="31" t="s">
        <v>35</v>
      </c>
      <c r="K12" s="29">
        <f>Sheet1!M5</f>
        <v>0</v>
      </c>
      <c r="L12" s="29">
        <f>Sheet1!N5</f>
        <v>0</v>
      </c>
    </row>
    <row r="13" spans="1:12" ht="21">
      <c r="A13" s="145"/>
      <c r="B13" s="145"/>
      <c r="C13" s="145"/>
      <c r="D13" s="145"/>
      <c r="E13" s="145"/>
      <c r="F13" s="145"/>
      <c r="G13" s="145"/>
      <c r="H13" s="145"/>
      <c r="I13" s="28" t="s">
        <v>104</v>
      </c>
      <c r="J13" s="31" t="s">
        <v>36</v>
      </c>
      <c r="K13" s="29">
        <f>Sheet1!M6</f>
        <v>0</v>
      </c>
      <c r="L13" s="29">
        <f>Sheet1!N6</f>
        <v>0</v>
      </c>
    </row>
    <row r="14" spans="1:12" ht="21">
      <c r="A14" s="145"/>
      <c r="B14" s="145"/>
      <c r="C14" s="145"/>
      <c r="D14" s="145"/>
      <c r="E14" s="145"/>
      <c r="F14" s="145"/>
      <c r="G14" s="145"/>
      <c r="H14" s="145"/>
      <c r="I14" s="28" t="s">
        <v>105</v>
      </c>
      <c r="J14" s="31" t="s">
        <v>37</v>
      </c>
      <c r="K14" s="29">
        <f>Sheet1!M7</f>
        <v>0</v>
      </c>
      <c r="L14" s="29">
        <f>Sheet1!N7</f>
        <v>0</v>
      </c>
    </row>
    <row r="15" spans="1:12" ht="21">
      <c r="A15" s="145"/>
      <c r="B15" s="145"/>
      <c r="C15" s="145"/>
      <c r="D15" s="145"/>
      <c r="E15" s="145"/>
      <c r="F15" s="145"/>
      <c r="G15" s="145"/>
      <c r="H15" s="145"/>
      <c r="I15" s="28" t="s">
        <v>113</v>
      </c>
      <c r="J15" s="31" t="s">
        <v>44</v>
      </c>
      <c r="K15" s="29">
        <f>Sheet1!M8</f>
        <v>0</v>
      </c>
      <c r="L15" s="29">
        <f>Sheet1!N8</f>
        <v>0</v>
      </c>
    </row>
    <row r="16" spans="1:12" ht="21">
      <c r="A16" s="145"/>
      <c r="B16" s="145"/>
      <c r="C16" s="145"/>
      <c r="D16" s="145"/>
      <c r="E16" s="145"/>
      <c r="F16" s="145"/>
      <c r="G16" s="145"/>
      <c r="H16" s="145"/>
      <c r="I16" s="28" t="s">
        <v>50</v>
      </c>
      <c r="J16" s="31" t="s">
        <v>236</v>
      </c>
      <c r="K16" s="29">
        <f>Sheet1!M9</f>
        <v>0</v>
      </c>
      <c r="L16" s="29">
        <f>Sheet1!N9</f>
        <v>0</v>
      </c>
    </row>
    <row r="17" spans="1:12" ht="21">
      <c r="A17" s="145"/>
      <c r="B17" s="145"/>
      <c r="C17" s="145"/>
      <c r="D17" s="145"/>
      <c r="E17" s="145"/>
      <c r="F17" s="145"/>
      <c r="G17" s="145"/>
      <c r="H17" s="145"/>
      <c r="I17" s="28" t="s">
        <v>106</v>
      </c>
      <c r="J17" s="31" t="s">
        <v>237</v>
      </c>
      <c r="K17" s="29">
        <f>Sheet1!M10</f>
        <v>0</v>
      </c>
      <c r="L17" s="29">
        <f>Sheet1!N10</f>
        <v>0</v>
      </c>
    </row>
    <row r="18" spans="1:12" ht="21">
      <c r="A18" s="145"/>
      <c r="B18" s="145"/>
      <c r="C18" s="145"/>
      <c r="D18" s="145"/>
      <c r="E18" s="145"/>
      <c r="F18" s="145"/>
      <c r="G18" s="145"/>
      <c r="H18" s="145"/>
      <c r="I18" s="28" t="s">
        <v>107</v>
      </c>
      <c r="J18" s="31" t="s">
        <v>238</v>
      </c>
      <c r="K18" s="29">
        <f>Sheet1!M11</f>
        <v>0</v>
      </c>
      <c r="L18" s="29">
        <f>Sheet1!N11</f>
        <v>0</v>
      </c>
    </row>
    <row r="19" spans="1:12" ht="21">
      <c r="A19" s="145"/>
      <c r="B19" s="145"/>
      <c r="C19" s="145"/>
      <c r="D19" s="145"/>
      <c r="E19" s="145"/>
      <c r="F19" s="145"/>
      <c r="G19" s="145"/>
      <c r="H19" s="145"/>
      <c r="I19" s="28" t="s">
        <v>108</v>
      </c>
      <c r="J19" s="31" t="s">
        <v>239</v>
      </c>
      <c r="K19" s="29">
        <f>Sheet1!M12</f>
        <v>0</v>
      </c>
      <c r="L19" s="29">
        <f>Sheet1!N12</f>
        <v>0</v>
      </c>
    </row>
    <row r="20" spans="1:12" ht="21">
      <c r="A20" s="145"/>
      <c r="B20" s="145"/>
      <c r="C20" s="145"/>
      <c r="D20" s="145"/>
      <c r="E20" s="145"/>
      <c r="F20" s="145"/>
      <c r="G20" s="145"/>
      <c r="H20" s="145"/>
      <c r="I20" s="28" t="s">
        <v>109</v>
      </c>
      <c r="J20" s="31" t="s">
        <v>240</v>
      </c>
      <c r="K20" s="29">
        <f>Sheet1!M13</f>
        <v>0</v>
      </c>
      <c r="L20" s="29">
        <f>Sheet1!N13</f>
        <v>0</v>
      </c>
    </row>
    <row r="21" spans="1:12" ht="21">
      <c r="A21" s="145"/>
      <c r="B21" s="145"/>
      <c r="C21" s="145"/>
      <c r="D21" s="145"/>
      <c r="E21" s="145"/>
      <c r="F21" s="145"/>
      <c r="G21" s="145"/>
      <c r="H21" s="145"/>
      <c r="I21" s="28" t="s">
        <v>241</v>
      </c>
      <c r="J21" s="31" t="s">
        <v>242</v>
      </c>
      <c r="K21" s="29">
        <f>Sheet1!M14</f>
        <v>0</v>
      </c>
      <c r="L21" s="29">
        <f>Sheet1!N14</f>
        <v>0</v>
      </c>
    </row>
    <row r="22" spans="1:12" ht="21">
      <c r="A22" s="145"/>
      <c r="B22" s="145"/>
      <c r="C22" s="145"/>
      <c r="D22" s="145"/>
      <c r="E22" s="145"/>
      <c r="F22" s="145"/>
      <c r="G22" s="145"/>
      <c r="H22" s="145"/>
      <c r="I22" s="28" t="s">
        <v>85</v>
      </c>
      <c r="J22" s="31" t="s">
        <v>86</v>
      </c>
      <c r="K22" s="29">
        <f>Sheet1!M15</f>
        <v>0</v>
      </c>
      <c r="L22" s="29">
        <f>Sheet1!N15</f>
        <v>0</v>
      </c>
    </row>
    <row r="23" spans="1:12" ht="21">
      <c r="A23" s="145"/>
      <c r="B23" s="145"/>
      <c r="C23" s="145"/>
      <c r="D23" s="145"/>
      <c r="E23" s="145"/>
      <c r="F23" s="145"/>
      <c r="G23" s="145"/>
      <c r="H23" s="145"/>
      <c r="I23" s="28" t="s">
        <v>11</v>
      </c>
      <c r="J23" s="31" t="s">
        <v>243</v>
      </c>
      <c r="K23" s="29">
        <f>Sheet1!M16</f>
        <v>0</v>
      </c>
      <c r="L23" s="29">
        <f>Sheet1!N16</f>
        <v>0</v>
      </c>
    </row>
    <row r="24" spans="1:12" ht="21">
      <c r="A24" s="145"/>
      <c r="B24" s="145"/>
      <c r="C24" s="145"/>
      <c r="D24" s="145"/>
      <c r="E24" s="145"/>
      <c r="F24" s="145"/>
      <c r="G24" s="145"/>
      <c r="H24" s="145"/>
      <c r="I24" s="33" t="s">
        <v>12</v>
      </c>
      <c r="J24" s="31" t="s">
        <v>110</v>
      </c>
      <c r="K24" s="29">
        <f>Sheet1!M17</f>
        <v>0</v>
      </c>
      <c r="L24" s="29">
        <f>Sheet1!N17</f>
        <v>0</v>
      </c>
    </row>
    <row r="25" spans="1:12" ht="21">
      <c r="A25" s="145"/>
      <c r="B25" s="145"/>
      <c r="C25" s="145"/>
      <c r="D25" s="145"/>
      <c r="E25" s="145"/>
      <c r="F25" s="145"/>
      <c r="G25" s="145"/>
      <c r="H25" s="145"/>
      <c r="I25" s="33" t="s">
        <v>160</v>
      </c>
      <c r="J25" s="31" t="s">
        <v>57</v>
      </c>
      <c r="K25" s="29">
        <f>Sheet1!M18</f>
        <v>0</v>
      </c>
      <c r="L25" s="29">
        <f>Sheet1!N18</f>
        <v>0</v>
      </c>
    </row>
    <row r="26" spans="1:12" ht="21">
      <c r="A26" s="145"/>
      <c r="B26" s="145"/>
      <c r="C26" s="145"/>
      <c r="D26" s="145"/>
      <c r="E26" s="145"/>
      <c r="F26" s="145"/>
      <c r="G26" s="145"/>
      <c r="H26" s="145"/>
      <c r="I26" s="131" t="s">
        <v>188</v>
      </c>
      <c r="J26" s="31"/>
      <c r="K26" s="29">
        <f>Sheet1!M19</f>
        <v>0</v>
      </c>
      <c r="L26" s="29">
        <f>Sheet1!N19</f>
        <v>0</v>
      </c>
    </row>
    <row r="27" spans="1:12" ht="21">
      <c r="A27" s="145"/>
      <c r="B27" s="145"/>
      <c r="C27" s="145"/>
      <c r="D27" s="145"/>
      <c r="E27" s="145"/>
      <c r="F27" s="145"/>
      <c r="G27" s="145"/>
      <c r="H27" s="145"/>
      <c r="I27" s="131" t="s">
        <v>170</v>
      </c>
      <c r="J27" s="31"/>
      <c r="K27" s="29">
        <f>Sheet1!M20</f>
        <v>0</v>
      </c>
      <c r="L27" s="29">
        <f>Sheet1!N20</f>
        <v>0</v>
      </c>
    </row>
    <row r="28" spans="1:12" ht="21">
      <c r="A28" s="145"/>
      <c r="B28" s="145"/>
      <c r="C28" s="145"/>
      <c r="D28" s="145"/>
      <c r="E28" s="145"/>
      <c r="F28" s="145"/>
      <c r="G28" s="145"/>
      <c r="H28" s="145"/>
      <c r="I28" s="131" t="s">
        <v>199</v>
      </c>
      <c r="J28" s="31"/>
      <c r="K28" s="29">
        <f>Sheet1!M21</f>
        <v>0</v>
      </c>
      <c r="L28" s="29">
        <f>Sheet1!N21</f>
        <v>0</v>
      </c>
    </row>
    <row r="29" spans="1:12" ht="21">
      <c r="A29" s="145"/>
      <c r="B29" s="145"/>
      <c r="C29" s="145"/>
      <c r="D29" s="145"/>
      <c r="E29" s="145"/>
      <c r="F29" s="145"/>
      <c r="G29" s="145"/>
      <c r="H29" s="145"/>
      <c r="I29" s="131" t="s">
        <v>171</v>
      </c>
      <c r="J29" s="31"/>
      <c r="K29" s="29">
        <f>Sheet1!M22</f>
        <v>0</v>
      </c>
      <c r="L29" s="29">
        <f>Sheet1!N22</f>
        <v>0</v>
      </c>
    </row>
    <row r="30" spans="1:12" ht="21">
      <c r="A30" s="145"/>
      <c r="B30" s="145"/>
      <c r="C30" s="145"/>
      <c r="D30" s="145"/>
      <c r="E30" s="145"/>
      <c r="F30" s="145"/>
      <c r="G30" s="145"/>
      <c r="H30" s="145"/>
      <c r="I30" s="130" t="s">
        <v>283</v>
      </c>
      <c r="J30" s="31" t="s">
        <v>219</v>
      </c>
      <c r="K30" s="29">
        <f>Sheet1!M23</f>
        <v>0</v>
      </c>
      <c r="L30" s="29">
        <f>Sheet1!N23</f>
        <v>0</v>
      </c>
    </row>
    <row r="31" spans="1:12" ht="21">
      <c r="A31" s="145"/>
      <c r="B31" s="145"/>
      <c r="C31" s="145"/>
      <c r="D31" s="145"/>
      <c r="E31" s="145"/>
      <c r="F31" s="145"/>
      <c r="G31" s="145"/>
      <c r="H31" s="145"/>
      <c r="I31" s="33" t="s">
        <v>284</v>
      </c>
      <c r="J31" s="31" t="s">
        <v>219</v>
      </c>
      <c r="K31" s="29">
        <f>Sheet1!M24</f>
        <v>0</v>
      </c>
      <c r="L31" s="29">
        <f>Sheet1!N24</f>
        <v>0</v>
      </c>
    </row>
    <row r="32" spans="1:12" ht="21">
      <c r="A32" s="145"/>
      <c r="B32" s="145"/>
      <c r="C32" s="145"/>
      <c r="D32" s="145"/>
      <c r="E32" s="145"/>
      <c r="F32" s="145"/>
      <c r="G32" s="145"/>
      <c r="H32" s="145"/>
      <c r="I32" s="103" t="s">
        <v>280</v>
      </c>
      <c r="J32" s="31" t="s">
        <v>219</v>
      </c>
      <c r="K32" s="29">
        <f>Sheet1!M25</f>
        <v>0</v>
      </c>
      <c r="L32" s="29">
        <f>Sheet1!N25</f>
        <v>0</v>
      </c>
    </row>
    <row r="33" spans="1:12" ht="21">
      <c r="A33" s="145"/>
      <c r="B33" s="145"/>
      <c r="C33" s="145"/>
      <c r="D33" s="145"/>
      <c r="E33" s="145"/>
      <c r="F33" s="145"/>
      <c r="G33" s="145"/>
      <c r="H33" s="145"/>
      <c r="I33" s="103" t="s">
        <v>281</v>
      </c>
      <c r="J33" s="31" t="s">
        <v>219</v>
      </c>
      <c r="K33" s="29">
        <f>Sheet1!M26</f>
        <v>0</v>
      </c>
      <c r="L33" s="29">
        <f>Sheet1!N26</f>
        <v>0</v>
      </c>
    </row>
    <row r="34" spans="1:12" ht="21">
      <c r="A34" s="145"/>
      <c r="B34" s="145"/>
      <c r="C34" s="145"/>
      <c r="D34" s="145"/>
      <c r="E34" s="145"/>
      <c r="F34" s="145"/>
      <c r="G34" s="145"/>
      <c r="H34" s="145"/>
      <c r="I34" s="103" t="s">
        <v>282</v>
      </c>
      <c r="J34" s="31" t="s">
        <v>219</v>
      </c>
      <c r="K34" s="29">
        <f>Sheet1!M27</f>
        <v>0</v>
      </c>
      <c r="L34" s="29">
        <f>Sheet1!N27</f>
        <v>0</v>
      </c>
    </row>
    <row r="35" spans="1:12" ht="21">
      <c r="A35" s="145"/>
      <c r="B35" s="145"/>
      <c r="C35" s="145"/>
      <c r="D35" s="145"/>
      <c r="E35" s="145"/>
      <c r="F35" s="145"/>
      <c r="G35" s="145"/>
      <c r="H35" s="145"/>
      <c r="I35" s="141" t="s">
        <v>288</v>
      </c>
      <c r="J35" s="31" t="s">
        <v>219</v>
      </c>
      <c r="K35" s="29">
        <f>Sheet1!M28</f>
        <v>0</v>
      </c>
      <c r="L35" s="29">
        <f>Sheet1!N28</f>
        <v>0</v>
      </c>
    </row>
    <row r="36" spans="1:12" ht="21">
      <c r="A36" s="145"/>
      <c r="B36" s="145"/>
      <c r="C36" s="145"/>
      <c r="D36" s="145"/>
      <c r="E36" s="145"/>
      <c r="F36" s="145"/>
      <c r="G36" s="145"/>
      <c r="H36" s="145"/>
      <c r="I36" s="103" t="s">
        <v>174</v>
      </c>
      <c r="J36" s="31" t="s">
        <v>219</v>
      </c>
      <c r="K36" s="29">
        <f>Sheet1!M29</f>
        <v>0</v>
      </c>
      <c r="L36" s="29">
        <f>Sheet1!N29</f>
        <v>0</v>
      </c>
    </row>
    <row r="37" spans="1:12" ht="21">
      <c r="A37" s="145"/>
      <c r="B37" s="145"/>
      <c r="C37" s="145"/>
      <c r="D37" s="145"/>
      <c r="E37" s="145"/>
      <c r="F37" s="145"/>
      <c r="G37" s="145"/>
      <c r="H37" s="145"/>
      <c r="I37" s="103" t="s">
        <v>306</v>
      </c>
      <c r="J37" s="31" t="s">
        <v>219</v>
      </c>
      <c r="K37" s="29">
        <f>Sheet1!M30</f>
        <v>0</v>
      </c>
      <c r="L37" s="29">
        <f>Sheet1!N30</f>
        <v>0</v>
      </c>
    </row>
    <row r="38" spans="1:12" ht="21">
      <c r="A38" s="145"/>
      <c r="B38" s="145"/>
      <c r="C38" s="145"/>
      <c r="D38" s="145"/>
      <c r="E38" s="145"/>
      <c r="F38" s="145"/>
      <c r="G38" s="145"/>
      <c r="H38" s="145"/>
      <c r="I38" s="103" t="s">
        <v>175</v>
      </c>
      <c r="J38" s="31" t="s">
        <v>219</v>
      </c>
      <c r="K38" s="29">
        <f>Sheet1!M31</f>
        <v>0</v>
      </c>
      <c r="L38" s="29">
        <f>Sheet1!N31</f>
        <v>0</v>
      </c>
    </row>
    <row r="39" spans="1:12" ht="21">
      <c r="A39" s="145"/>
      <c r="B39" s="145"/>
      <c r="C39" s="145"/>
      <c r="D39" s="145"/>
      <c r="E39" s="145"/>
      <c r="F39" s="145"/>
      <c r="G39" s="145"/>
      <c r="H39" s="145"/>
      <c r="I39" s="103" t="s">
        <v>176</v>
      </c>
      <c r="J39" s="31" t="s">
        <v>219</v>
      </c>
      <c r="K39" s="29">
        <f>Sheet1!M32</f>
        <v>0</v>
      </c>
      <c r="L39" s="29">
        <f>Sheet1!N32</f>
        <v>0</v>
      </c>
    </row>
    <row r="40" spans="1:12" ht="24.75" customHeight="1" thickBot="1">
      <c r="A40" s="233" t="s">
        <v>339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</row>
    <row r="41" spans="1:12" ht="19.5" thickBot="1">
      <c r="A41" s="225" t="s">
        <v>0</v>
      </c>
      <c r="B41" s="226"/>
      <c r="C41" s="226"/>
      <c r="D41" s="226"/>
      <c r="E41" s="226"/>
      <c r="F41" s="226"/>
      <c r="G41" s="226"/>
      <c r="H41" s="227"/>
      <c r="I41" s="159"/>
      <c r="J41" s="159"/>
      <c r="K41" s="225" t="s">
        <v>67</v>
      </c>
      <c r="L41" s="227"/>
    </row>
    <row r="42" spans="1:12" ht="18.75">
      <c r="A42" s="149"/>
      <c r="B42" s="150"/>
      <c r="C42" s="228" t="s">
        <v>333</v>
      </c>
      <c r="D42" s="229"/>
      <c r="E42" s="149"/>
      <c r="F42" s="150"/>
      <c r="G42" s="149"/>
      <c r="H42" s="147"/>
      <c r="I42" s="151" t="s">
        <v>4</v>
      </c>
      <c r="J42" s="152" t="s">
        <v>5</v>
      </c>
      <c r="K42" s="230" t="s">
        <v>7</v>
      </c>
      <c r="L42" s="231"/>
    </row>
    <row r="43" spans="1:12" ht="18.75">
      <c r="A43" s="230" t="s">
        <v>1</v>
      </c>
      <c r="B43" s="231"/>
      <c r="C43" s="230" t="s">
        <v>334</v>
      </c>
      <c r="D43" s="231"/>
      <c r="E43" s="230" t="s">
        <v>32</v>
      </c>
      <c r="F43" s="231"/>
      <c r="G43" s="230" t="s">
        <v>3</v>
      </c>
      <c r="H43" s="232"/>
      <c r="I43" s="145"/>
      <c r="J43" s="152" t="s">
        <v>6</v>
      </c>
      <c r="K43" s="230" t="s">
        <v>3</v>
      </c>
      <c r="L43" s="231"/>
    </row>
    <row r="44" spans="1:12" ht="19.5" thickBot="1">
      <c r="A44" s="230" t="s">
        <v>336</v>
      </c>
      <c r="B44" s="231"/>
      <c r="C44" s="230" t="s">
        <v>335</v>
      </c>
      <c r="D44" s="231"/>
      <c r="E44" s="230" t="s">
        <v>336</v>
      </c>
      <c r="F44" s="231"/>
      <c r="G44" s="230" t="s">
        <v>336</v>
      </c>
      <c r="H44" s="232"/>
      <c r="I44" s="158"/>
      <c r="J44" s="152"/>
      <c r="K44" s="230" t="s">
        <v>2</v>
      </c>
      <c r="L44" s="231"/>
    </row>
    <row r="45" spans="1:12" ht="21.75" thickTop="1">
      <c r="A45" s="144"/>
      <c r="B45" s="144"/>
      <c r="C45" s="144"/>
      <c r="D45" s="144"/>
      <c r="E45" s="144"/>
      <c r="F45" s="144"/>
      <c r="G45" s="144"/>
      <c r="H45" s="144"/>
      <c r="I45" s="160" t="s">
        <v>216</v>
      </c>
      <c r="J45" s="162" t="s">
        <v>219</v>
      </c>
      <c r="K45" s="29">
        <f>Sheet1!M38</f>
        <v>0</v>
      </c>
      <c r="L45" s="29">
        <f>Sheet1!N38</f>
        <v>0</v>
      </c>
    </row>
    <row r="46" spans="1:12" ht="21">
      <c r="A46" s="145"/>
      <c r="B46" s="145"/>
      <c r="C46" s="145"/>
      <c r="D46" s="145"/>
      <c r="E46" s="145"/>
      <c r="F46" s="145"/>
      <c r="G46" s="145"/>
      <c r="H46" s="145"/>
      <c r="I46" s="160" t="s">
        <v>177</v>
      </c>
      <c r="J46" s="163" t="s">
        <v>219</v>
      </c>
      <c r="K46" s="29">
        <f>Sheet1!M39</f>
        <v>0</v>
      </c>
      <c r="L46" s="29">
        <f>Sheet1!N39</f>
        <v>0</v>
      </c>
    </row>
    <row r="47" spans="1:12" ht="21">
      <c r="A47" s="145"/>
      <c r="B47" s="145"/>
      <c r="C47" s="145"/>
      <c r="D47" s="145"/>
      <c r="E47" s="145"/>
      <c r="F47" s="145"/>
      <c r="G47" s="145"/>
      <c r="H47" s="145"/>
      <c r="I47" s="160" t="s">
        <v>286</v>
      </c>
      <c r="J47" s="163" t="s">
        <v>219</v>
      </c>
      <c r="K47" s="29">
        <f>Sheet1!M40</f>
        <v>0</v>
      </c>
      <c r="L47" s="29">
        <f>Sheet1!N40</f>
        <v>0</v>
      </c>
    </row>
    <row r="48" spans="1:12" ht="21">
      <c r="A48" s="145"/>
      <c r="B48" s="145"/>
      <c r="C48" s="145"/>
      <c r="D48" s="145"/>
      <c r="E48" s="145"/>
      <c r="F48" s="145"/>
      <c r="G48" s="145"/>
      <c r="H48" s="145"/>
      <c r="I48" s="160" t="s">
        <v>178</v>
      </c>
      <c r="J48" s="163" t="s">
        <v>219</v>
      </c>
      <c r="K48" s="29">
        <f>Sheet1!M41</f>
        <v>0</v>
      </c>
      <c r="L48" s="29">
        <f>Sheet1!N41</f>
        <v>0</v>
      </c>
    </row>
    <row r="49" spans="1:12" ht="21">
      <c r="A49" s="145"/>
      <c r="B49" s="145"/>
      <c r="C49" s="145"/>
      <c r="D49" s="145"/>
      <c r="E49" s="145"/>
      <c r="F49" s="145"/>
      <c r="G49" s="145"/>
      <c r="H49" s="145"/>
      <c r="I49" s="103" t="s">
        <v>217</v>
      </c>
      <c r="J49" s="31" t="s">
        <v>219</v>
      </c>
      <c r="K49" s="29">
        <f>Sheet1!M38</f>
        <v>0</v>
      </c>
      <c r="L49" s="29">
        <f>Sheet1!N38</f>
        <v>0</v>
      </c>
    </row>
    <row r="50" spans="1:12" ht="21">
      <c r="A50" s="145"/>
      <c r="B50" s="145"/>
      <c r="C50" s="145"/>
      <c r="D50" s="145"/>
      <c r="E50" s="145"/>
      <c r="F50" s="145"/>
      <c r="G50" s="145"/>
      <c r="H50" s="145"/>
      <c r="I50" s="103" t="s">
        <v>179</v>
      </c>
      <c r="J50" s="31" t="s">
        <v>219</v>
      </c>
      <c r="K50" s="29">
        <f>Sheet1!M39</f>
        <v>0</v>
      </c>
      <c r="L50" s="29">
        <f>Sheet1!N39</f>
        <v>0</v>
      </c>
    </row>
    <row r="51" spans="1:12" ht="21">
      <c r="A51" s="145"/>
      <c r="B51" s="145"/>
      <c r="C51" s="145"/>
      <c r="D51" s="145"/>
      <c r="E51" s="145"/>
      <c r="F51" s="145"/>
      <c r="G51" s="145"/>
      <c r="H51" s="145"/>
      <c r="I51" s="103" t="s">
        <v>180</v>
      </c>
      <c r="J51" s="31" t="s">
        <v>219</v>
      </c>
      <c r="K51" s="29">
        <f>Sheet1!M40</f>
        <v>0</v>
      </c>
      <c r="L51" s="29">
        <f>Sheet1!N40</f>
        <v>0</v>
      </c>
    </row>
    <row r="52" spans="1:12" ht="21">
      <c r="A52" s="145"/>
      <c r="B52" s="145"/>
      <c r="C52" s="145"/>
      <c r="D52" s="145"/>
      <c r="E52" s="145"/>
      <c r="F52" s="145"/>
      <c r="G52" s="145"/>
      <c r="H52" s="145"/>
      <c r="I52" s="103" t="s">
        <v>218</v>
      </c>
      <c r="J52" s="31" t="s">
        <v>219</v>
      </c>
      <c r="K52" s="29">
        <f>Sheet1!M41</f>
        <v>0</v>
      </c>
      <c r="L52" s="29">
        <f>Sheet1!N41</f>
        <v>0</v>
      </c>
    </row>
    <row r="53" spans="1:12" ht="21">
      <c r="A53" s="145"/>
      <c r="B53" s="145"/>
      <c r="C53" s="145"/>
      <c r="D53" s="145"/>
      <c r="E53" s="145"/>
      <c r="F53" s="145"/>
      <c r="G53" s="145"/>
      <c r="H53" s="145"/>
      <c r="I53" s="103" t="s">
        <v>193</v>
      </c>
      <c r="J53" s="31" t="s">
        <v>219</v>
      </c>
      <c r="K53" s="29">
        <f>Sheet1!M42</f>
        <v>0</v>
      </c>
      <c r="L53" s="29">
        <f>Sheet1!N42</f>
        <v>0</v>
      </c>
    </row>
    <row r="54" spans="1:12" ht="21">
      <c r="A54" s="145"/>
      <c r="B54" s="145"/>
      <c r="C54" s="145"/>
      <c r="D54" s="145"/>
      <c r="E54" s="145"/>
      <c r="F54" s="145"/>
      <c r="G54" s="145"/>
      <c r="H54" s="145"/>
      <c r="I54" s="103" t="s">
        <v>198</v>
      </c>
      <c r="J54" s="31" t="s">
        <v>219</v>
      </c>
      <c r="K54" s="29">
        <f>Sheet1!M43</f>
        <v>0</v>
      </c>
      <c r="L54" s="29">
        <f>Sheet1!N43</f>
        <v>0</v>
      </c>
    </row>
    <row r="55" spans="1:12" ht="21">
      <c r="A55" s="145"/>
      <c r="B55" s="145"/>
      <c r="C55" s="145"/>
      <c r="D55" s="145"/>
      <c r="E55" s="145"/>
      <c r="F55" s="145"/>
      <c r="G55" s="145"/>
      <c r="H55" s="145"/>
      <c r="I55" s="103" t="s">
        <v>210</v>
      </c>
      <c r="J55" s="31" t="s">
        <v>219</v>
      </c>
      <c r="K55" s="29">
        <f>Sheet1!M44</f>
        <v>0</v>
      </c>
      <c r="L55" s="29">
        <f>Sheet1!N44</f>
        <v>0</v>
      </c>
    </row>
    <row r="56" spans="1:12" ht="21">
      <c r="A56" s="145"/>
      <c r="B56" s="145"/>
      <c r="C56" s="145"/>
      <c r="D56" s="145"/>
      <c r="E56" s="145"/>
      <c r="F56" s="145"/>
      <c r="G56" s="145"/>
      <c r="H56" s="145"/>
      <c r="I56" s="103" t="s">
        <v>314</v>
      </c>
      <c r="J56" s="31" t="s">
        <v>219</v>
      </c>
      <c r="K56" s="29">
        <f>Sheet1!M45</f>
        <v>0</v>
      </c>
      <c r="L56" s="29">
        <f>Sheet1!N45</f>
        <v>0</v>
      </c>
    </row>
    <row r="57" spans="1:12" ht="21">
      <c r="A57" s="145"/>
      <c r="B57" s="145"/>
      <c r="C57" s="145"/>
      <c r="D57" s="145"/>
      <c r="E57" s="145"/>
      <c r="F57" s="145"/>
      <c r="G57" s="145"/>
      <c r="H57" s="145"/>
      <c r="I57" s="103" t="s">
        <v>182</v>
      </c>
      <c r="J57" s="31" t="s">
        <v>219</v>
      </c>
      <c r="K57" s="29">
        <f>Sheet1!M46</f>
        <v>0</v>
      </c>
      <c r="L57" s="29">
        <f>Sheet1!N46</f>
        <v>0</v>
      </c>
    </row>
    <row r="58" spans="1:12" ht="21">
      <c r="A58" s="145"/>
      <c r="B58" s="145"/>
      <c r="C58" s="145"/>
      <c r="D58" s="145"/>
      <c r="E58" s="145"/>
      <c r="F58" s="145"/>
      <c r="G58" s="145"/>
      <c r="H58" s="145"/>
      <c r="I58" s="103" t="s">
        <v>183</v>
      </c>
      <c r="J58" s="31" t="s">
        <v>219</v>
      </c>
      <c r="K58" s="29">
        <f>Sheet1!M47</f>
        <v>0</v>
      </c>
      <c r="L58" s="29">
        <f>Sheet1!N47</f>
        <v>0</v>
      </c>
    </row>
    <row r="59" spans="1:12" ht="21">
      <c r="A59" s="145"/>
      <c r="B59" s="145"/>
      <c r="C59" s="145"/>
      <c r="D59" s="145"/>
      <c r="E59" s="145"/>
      <c r="F59" s="145"/>
      <c r="G59" s="145"/>
      <c r="H59" s="145"/>
      <c r="I59" s="103" t="s">
        <v>184</v>
      </c>
      <c r="J59" s="31" t="s">
        <v>219</v>
      </c>
      <c r="K59" s="29">
        <f>Sheet1!M48</f>
        <v>0</v>
      </c>
      <c r="L59" s="29">
        <f>Sheet1!N48</f>
        <v>0</v>
      </c>
    </row>
    <row r="60" spans="1:12" ht="21">
      <c r="A60" s="145"/>
      <c r="B60" s="145"/>
      <c r="C60" s="145"/>
      <c r="D60" s="145"/>
      <c r="E60" s="145"/>
      <c r="F60" s="145"/>
      <c r="G60" s="145"/>
      <c r="H60" s="145"/>
      <c r="I60" s="130" t="s">
        <v>287</v>
      </c>
      <c r="J60" s="164" t="s">
        <v>219</v>
      </c>
      <c r="K60" s="29">
        <f>Sheet1!M49</f>
        <v>0</v>
      </c>
      <c r="L60" s="29">
        <f>Sheet1!N49</f>
        <v>0</v>
      </c>
    </row>
    <row r="61" spans="1:12" ht="21">
      <c r="A61" s="145"/>
      <c r="B61" s="145"/>
      <c r="C61" s="145"/>
      <c r="D61" s="145"/>
      <c r="E61" s="145"/>
      <c r="F61" s="145"/>
      <c r="G61" s="145"/>
      <c r="H61" s="145"/>
      <c r="I61" s="130" t="s">
        <v>315</v>
      </c>
      <c r="J61" s="164" t="s">
        <v>219</v>
      </c>
      <c r="K61" s="29">
        <f>Sheet1!M50</f>
        <v>0</v>
      </c>
      <c r="L61" s="29">
        <f>Sheet1!N50</f>
        <v>0</v>
      </c>
    </row>
    <row r="62" spans="1:12" ht="21">
      <c r="A62" s="145"/>
      <c r="B62" s="145"/>
      <c r="C62" s="145"/>
      <c r="D62" s="145"/>
      <c r="E62" s="145"/>
      <c r="F62" s="145"/>
      <c r="G62" s="145"/>
      <c r="H62" s="145"/>
      <c r="I62" s="130" t="s">
        <v>321</v>
      </c>
      <c r="J62" s="164" t="s">
        <v>219</v>
      </c>
      <c r="K62" s="29">
        <f>Sheet1!M51</f>
        <v>0</v>
      </c>
      <c r="L62" s="29">
        <f>Sheet1!N51</f>
        <v>0</v>
      </c>
    </row>
    <row r="63" spans="1:12" ht="21">
      <c r="A63" s="145"/>
      <c r="B63" s="145"/>
      <c r="C63" s="145"/>
      <c r="D63" s="145"/>
      <c r="E63" s="145"/>
      <c r="F63" s="145"/>
      <c r="G63" s="145"/>
      <c r="H63" s="145"/>
      <c r="I63" s="130" t="s">
        <v>322</v>
      </c>
      <c r="J63" s="164" t="s">
        <v>219</v>
      </c>
      <c r="K63" s="29">
        <f>Sheet1!M52</f>
        <v>0</v>
      </c>
      <c r="L63" s="29">
        <f>Sheet1!N52</f>
        <v>0</v>
      </c>
    </row>
    <row r="64" spans="1:12" ht="21">
      <c r="A64" s="145"/>
      <c r="B64" s="145"/>
      <c r="C64" s="145"/>
      <c r="D64" s="145"/>
      <c r="E64" s="145"/>
      <c r="F64" s="145"/>
      <c r="G64" s="145"/>
      <c r="H64" s="145"/>
      <c r="I64" s="130" t="s">
        <v>131</v>
      </c>
      <c r="J64" s="164" t="s">
        <v>244</v>
      </c>
      <c r="K64" s="29">
        <f>Sheet1!M53</f>
        <v>0</v>
      </c>
      <c r="L64" s="29">
        <f>Sheet1!N53</f>
        <v>0</v>
      </c>
    </row>
    <row r="65" spans="1:12" ht="21">
      <c r="A65" s="145"/>
      <c r="B65" s="145"/>
      <c r="C65" s="145"/>
      <c r="D65" s="145"/>
      <c r="E65" s="145"/>
      <c r="F65" s="145"/>
      <c r="G65" s="145"/>
      <c r="H65" s="145"/>
      <c r="I65" s="130" t="s">
        <v>96</v>
      </c>
      <c r="J65" s="164" t="s">
        <v>245</v>
      </c>
      <c r="K65" s="29">
        <f>Sheet1!M54</f>
        <v>0</v>
      </c>
      <c r="L65" s="29">
        <f>Sheet1!N54</f>
        <v>0</v>
      </c>
    </row>
    <row r="66" spans="1:12" ht="21">
      <c r="A66" s="145"/>
      <c r="B66" s="145"/>
      <c r="C66" s="145"/>
      <c r="D66" s="145"/>
      <c r="E66" s="145"/>
      <c r="F66" s="145"/>
      <c r="G66" s="145"/>
      <c r="H66" s="145"/>
      <c r="I66" s="130" t="s">
        <v>21</v>
      </c>
      <c r="J66" s="164" t="s">
        <v>246</v>
      </c>
      <c r="K66" s="29">
        <f>Sheet1!M55</f>
        <v>0</v>
      </c>
      <c r="L66" s="29">
        <f>Sheet1!N55</f>
        <v>0</v>
      </c>
    </row>
    <row r="67" spans="1:12" ht="21">
      <c r="A67" s="145"/>
      <c r="B67" s="145"/>
      <c r="C67" s="145"/>
      <c r="D67" s="145"/>
      <c r="E67" s="145"/>
      <c r="F67" s="145"/>
      <c r="G67" s="145"/>
      <c r="H67" s="145"/>
      <c r="I67" s="130" t="s">
        <v>247</v>
      </c>
      <c r="J67" s="164" t="s">
        <v>248</v>
      </c>
      <c r="K67" s="29">
        <f>Sheet1!M56</f>
        <v>0</v>
      </c>
      <c r="L67" s="29">
        <f>Sheet1!N56</f>
        <v>0</v>
      </c>
    </row>
    <row r="68" spans="1:12" ht="21">
      <c r="A68" s="145"/>
      <c r="B68" s="145"/>
      <c r="C68" s="145"/>
      <c r="D68" s="145"/>
      <c r="E68" s="145"/>
      <c r="F68" s="145"/>
      <c r="G68" s="145"/>
      <c r="H68" s="145"/>
      <c r="I68" s="130" t="s">
        <v>14</v>
      </c>
      <c r="J68" s="165" t="s">
        <v>249</v>
      </c>
      <c r="K68" s="29">
        <f>Sheet1!M58</f>
        <v>0</v>
      </c>
      <c r="L68" s="29">
        <f>Sheet1!N58</f>
        <v>0</v>
      </c>
    </row>
    <row r="69" spans="1:12" ht="21">
      <c r="A69" s="145"/>
      <c r="B69" s="145"/>
      <c r="C69" s="145"/>
      <c r="D69" s="145"/>
      <c r="E69" s="145"/>
      <c r="F69" s="145"/>
      <c r="G69" s="145"/>
      <c r="H69" s="145"/>
      <c r="I69" s="130" t="s">
        <v>156</v>
      </c>
      <c r="J69" s="164" t="s">
        <v>250</v>
      </c>
      <c r="K69" s="29">
        <f>Sheet1!M59</f>
        <v>0</v>
      </c>
      <c r="L69" s="29">
        <f>Sheet1!N59</f>
        <v>0</v>
      </c>
    </row>
    <row r="70" spans="1:12" ht="21">
      <c r="A70" s="145"/>
      <c r="B70" s="145"/>
      <c r="C70" s="145"/>
      <c r="D70" s="145"/>
      <c r="E70" s="145"/>
      <c r="F70" s="145"/>
      <c r="G70" s="145"/>
      <c r="H70" s="145"/>
      <c r="I70" s="130" t="s">
        <v>235</v>
      </c>
      <c r="J70" s="164" t="s">
        <v>250</v>
      </c>
      <c r="K70" s="29">
        <f>Sheet1!M60</f>
        <v>0</v>
      </c>
      <c r="L70" s="29">
        <f>Sheet1!N60</f>
        <v>0</v>
      </c>
    </row>
    <row r="71" spans="1:12" ht="21">
      <c r="A71" s="145"/>
      <c r="B71" s="145"/>
      <c r="C71" s="145"/>
      <c r="D71" s="145"/>
      <c r="E71" s="145"/>
      <c r="F71" s="145"/>
      <c r="G71" s="145"/>
      <c r="H71" s="145"/>
      <c r="I71" s="130" t="s">
        <v>15</v>
      </c>
      <c r="J71" s="164" t="s">
        <v>38</v>
      </c>
      <c r="K71" s="29">
        <f>Sheet1!M61</f>
        <v>0</v>
      </c>
      <c r="L71" s="29">
        <f>Sheet1!N61</f>
        <v>0</v>
      </c>
    </row>
    <row r="72" spans="1:12" ht="21">
      <c r="A72" s="145"/>
      <c r="B72" s="145"/>
      <c r="C72" s="145"/>
      <c r="D72" s="145"/>
      <c r="E72" s="145"/>
      <c r="F72" s="145"/>
      <c r="G72" s="145"/>
      <c r="H72" s="145"/>
      <c r="I72" s="130" t="s">
        <v>16</v>
      </c>
      <c r="J72" s="164" t="s">
        <v>39</v>
      </c>
      <c r="K72" s="29">
        <f>Sheet1!M62</f>
        <v>0</v>
      </c>
      <c r="L72" s="29">
        <f>Sheet1!N62</f>
        <v>0</v>
      </c>
    </row>
    <row r="73" spans="1:12" ht="21.75" thickBot="1">
      <c r="A73" s="145"/>
      <c r="B73" s="145"/>
      <c r="C73" s="145"/>
      <c r="D73" s="145"/>
      <c r="E73" s="145"/>
      <c r="F73" s="145"/>
      <c r="G73" s="145"/>
      <c r="H73" s="145"/>
      <c r="I73" s="130" t="s">
        <v>18</v>
      </c>
      <c r="J73" s="166" t="s">
        <v>41</v>
      </c>
      <c r="K73" s="29">
        <f>Sheet1!M63</f>
        <v>0</v>
      </c>
      <c r="L73" s="29">
        <f>Sheet1!N63</f>
        <v>0</v>
      </c>
    </row>
    <row r="74" spans="1:12" ht="21.75" thickBot="1">
      <c r="A74" s="167"/>
      <c r="B74" s="167"/>
      <c r="C74" s="167"/>
      <c r="D74" s="167"/>
      <c r="E74" s="167"/>
      <c r="F74" s="167"/>
      <c r="G74" s="167"/>
      <c r="H74" s="167"/>
      <c r="I74" s="168" t="s">
        <v>26</v>
      </c>
      <c r="J74" s="169"/>
      <c r="K74" s="167"/>
      <c r="L74" s="170"/>
    </row>
    <row r="75" spans="1:12" ht="21.75" thickTop="1">
      <c r="A75" s="145"/>
      <c r="B75" s="145"/>
      <c r="C75" s="145"/>
      <c r="D75" s="145"/>
      <c r="E75" s="145"/>
      <c r="F75" s="145"/>
      <c r="G75" s="145"/>
      <c r="H75" s="145"/>
      <c r="I75" s="160"/>
      <c r="J75" s="163"/>
      <c r="K75" s="145"/>
      <c r="L75" s="153"/>
    </row>
    <row r="76" spans="1:12" ht="21">
      <c r="A76" s="145"/>
      <c r="B76" s="145"/>
      <c r="C76" s="145"/>
      <c r="D76" s="145"/>
      <c r="E76" s="145"/>
      <c r="F76" s="145"/>
      <c r="G76" s="145"/>
      <c r="H76" s="145"/>
      <c r="I76" s="160"/>
      <c r="J76" s="163"/>
      <c r="K76" s="145"/>
      <c r="L76" s="153"/>
    </row>
    <row r="77" spans="1:12" ht="21">
      <c r="A77" s="145"/>
      <c r="B77" s="145"/>
      <c r="C77" s="145"/>
      <c r="D77" s="145"/>
      <c r="E77" s="145"/>
      <c r="F77" s="145"/>
      <c r="G77" s="145"/>
      <c r="H77" s="145"/>
      <c r="I77" s="160"/>
      <c r="J77" s="163"/>
      <c r="K77" s="145"/>
      <c r="L77" s="153"/>
    </row>
    <row r="78" spans="1:12" ht="21">
      <c r="A78" s="145"/>
      <c r="B78" s="145"/>
      <c r="C78" s="145"/>
      <c r="D78" s="145"/>
      <c r="E78" s="145"/>
      <c r="F78" s="145"/>
      <c r="G78" s="145"/>
      <c r="H78" s="145"/>
      <c r="I78" s="160"/>
      <c r="J78" s="163"/>
      <c r="K78" s="145"/>
      <c r="L78" s="153"/>
    </row>
    <row r="79" spans="1:12" ht="19.5" thickBot="1">
      <c r="A79" s="146"/>
      <c r="B79" s="146"/>
      <c r="C79" s="146"/>
      <c r="D79" s="146"/>
      <c r="E79" s="146"/>
      <c r="F79" s="146"/>
      <c r="G79" s="146"/>
      <c r="H79" s="146"/>
      <c r="I79" s="161"/>
      <c r="J79" s="146"/>
      <c r="K79" s="146"/>
      <c r="L79" s="154"/>
    </row>
    <row r="82" spans="1:12" ht="19.5" thickBot="1">
      <c r="A82" s="233" t="s">
        <v>340</v>
      </c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3"/>
    </row>
    <row r="83" spans="1:12" ht="19.5" thickBot="1">
      <c r="A83" s="225" t="s">
        <v>0</v>
      </c>
      <c r="B83" s="226"/>
      <c r="C83" s="226"/>
      <c r="D83" s="226"/>
      <c r="E83" s="226"/>
      <c r="F83" s="226"/>
      <c r="G83" s="226"/>
      <c r="H83" s="227"/>
      <c r="I83" s="159"/>
      <c r="J83" s="159"/>
      <c r="K83" s="225" t="s">
        <v>67</v>
      </c>
      <c r="L83" s="227"/>
    </row>
    <row r="84" spans="1:12" ht="18.75">
      <c r="A84" s="149"/>
      <c r="B84" s="150"/>
      <c r="C84" s="228" t="s">
        <v>333</v>
      </c>
      <c r="D84" s="229"/>
      <c r="E84" s="149"/>
      <c r="F84" s="150"/>
      <c r="G84" s="149"/>
      <c r="H84" s="147"/>
      <c r="I84" s="151" t="s">
        <v>4</v>
      </c>
      <c r="J84" s="152" t="s">
        <v>5</v>
      </c>
      <c r="K84" s="230" t="s">
        <v>7</v>
      </c>
      <c r="L84" s="231"/>
    </row>
    <row r="85" spans="1:12" ht="18.75">
      <c r="A85" s="230" t="s">
        <v>1</v>
      </c>
      <c r="B85" s="231"/>
      <c r="C85" s="230" t="s">
        <v>334</v>
      </c>
      <c r="D85" s="231"/>
      <c r="E85" s="230" t="s">
        <v>32</v>
      </c>
      <c r="F85" s="231"/>
      <c r="G85" s="230" t="s">
        <v>3</v>
      </c>
      <c r="H85" s="232"/>
      <c r="I85" s="145"/>
      <c r="J85" s="152" t="s">
        <v>6</v>
      </c>
      <c r="K85" s="230" t="s">
        <v>3</v>
      </c>
      <c r="L85" s="231"/>
    </row>
    <row r="86" spans="1:12" ht="19.5" thickBot="1">
      <c r="A86" s="222" t="s">
        <v>336</v>
      </c>
      <c r="B86" s="223"/>
      <c r="C86" s="222" t="s">
        <v>335</v>
      </c>
      <c r="D86" s="223"/>
      <c r="E86" s="222" t="s">
        <v>336</v>
      </c>
      <c r="F86" s="223"/>
      <c r="G86" s="222" t="s">
        <v>336</v>
      </c>
      <c r="H86" s="224"/>
      <c r="I86" s="158"/>
      <c r="J86" s="157"/>
      <c r="K86" s="222" t="s">
        <v>2</v>
      </c>
      <c r="L86" s="223"/>
    </row>
    <row r="87" spans="1:12" ht="21.75" thickTop="1">
      <c r="A87" s="144"/>
      <c r="B87" s="144"/>
      <c r="C87" s="144"/>
      <c r="D87" s="144"/>
      <c r="E87" s="144"/>
      <c r="F87" s="144"/>
      <c r="G87" s="144"/>
      <c r="H87" s="144"/>
      <c r="I87" s="108" t="s">
        <v>13</v>
      </c>
      <c r="J87" s="35"/>
      <c r="K87" s="171"/>
      <c r="L87" s="172"/>
    </row>
    <row r="88" spans="1:12" ht="21">
      <c r="A88" s="145"/>
      <c r="B88" s="145"/>
      <c r="C88" s="145"/>
      <c r="D88" s="145"/>
      <c r="E88" s="145"/>
      <c r="F88" s="145"/>
      <c r="G88" s="145"/>
      <c r="H88" s="145"/>
      <c r="I88" s="32" t="s">
        <v>14</v>
      </c>
      <c r="J88" s="60" t="s">
        <v>249</v>
      </c>
      <c r="K88" s="38">
        <f>Sheet1!M81</f>
        <v>0</v>
      </c>
      <c r="L88" s="38">
        <f>Sheet1!N81</f>
        <v>0</v>
      </c>
    </row>
    <row r="89" spans="1:12" ht="21">
      <c r="A89" s="145"/>
      <c r="B89" s="145"/>
      <c r="C89" s="145"/>
      <c r="D89" s="145"/>
      <c r="E89" s="145"/>
      <c r="F89" s="145"/>
      <c r="G89" s="145"/>
      <c r="H89" s="145"/>
      <c r="I89" s="32" t="s">
        <v>155</v>
      </c>
      <c r="J89" s="60" t="s">
        <v>252</v>
      </c>
      <c r="K89" s="38">
        <f>Sheet1!M82</f>
        <v>0</v>
      </c>
      <c r="L89" s="38">
        <f>Sheet1!N82</f>
        <v>0</v>
      </c>
    </row>
    <row r="90" spans="1:12" ht="21">
      <c r="A90" s="145"/>
      <c r="B90" s="145"/>
      <c r="C90" s="145"/>
      <c r="D90" s="145"/>
      <c r="E90" s="145"/>
      <c r="F90" s="145"/>
      <c r="G90" s="145"/>
      <c r="H90" s="145"/>
      <c r="I90" s="32" t="s">
        <v>233</v>
      </c>
      <c r="J90" s="60" t="s">
        <v>250</v>
      </c>
      <c r="K90" s="38">
        <f>Sheet1!M83</f>
        <v>0</v>
      </c>
      <c r="L90" s="38">
        <f>Sheet1!N83</f>
        <v>0</v>
      </c>
    </row>
    <row r="91" spans="1:12" ht="21">
      <c r="A91" s="145"/>
      <c r="B91" s="145"/>
      <c r="C91" s="145"/>
      <c r="D91" s="145"/>
      <c r="E91" s="145"/>
      <c r="F91" s="145"/>
      <c r="G91" s="145"/>
      <c r="H91" s="145"/>
      <c r="I91" s="32" t="s">
        <v>234</v>
      </c>
      <c r="J91" s="60" t="s">
        <v>250</v>
      </c>
      <c r="K91" s="38">
        <f>Sheet1!M84</f>
        <v>0</v>
      </c>
      <c r="L91" s="38">
        <f>Sheet1!N84</f>
        <v>0</v>
      </c>
    </row>
    <row r="92" spans="1:12" ht="21">
      <c r="A92" s="145"/>
      <c r="B92" s="145"/>
      <c r="C92" s="145"/>
      <c r="D92" s="145"/>
      <c r="E92" s="145"/>
      <c r="F92" s="145"/>
      <c r="G92" s="145"/>
      <c r="H92" s="145"/>
      <c r="I92" s="32" t="s">
        <v>235</v>
      </c>
      <c r="J92" s="60" t="s">
        <v>250</v>
      </c>
      <c r="K92" s="38">
        <f>Sheet1!M85</f>
        <v>0</v>
      </c>
      <c r="L92" s="38">
        <f>Sheet1!N85</f>
        <v>0</v>
      </c>
    </row>
    <row r="93" spans="1:12" ht="21">
      <c r="A93" s="145"/>
      <c r="B93" s="145"/>
      <c r="C93" s="145"/>
      <c r="D93" s="145"/>
      <c r="E93" s="145"/>
      <c r="F93" s="145"/>
      <c r="G93" s="145"/>
      <c r="H93" s="145"/>
      <c r="I93" s="32" t="s">
        <v>15</v>
      </c>
      <c r="J93" s="60" t="s">
        <v>38</v>
      </c>
      <c r="K93" s="38">
        <f>Sheet1!M86</f>
        <v>0</v>
      </c>
      <c r="L93" s="38">
        <f>Sheet1!N86</f>
        <v>0</v>
      </c>
    </row>
    <row r="94" spans="1:12" ht="21">
      <c r="A94" s="145"/>
      <c r="B94" s="145"/>
      <c r="C94" s="145"/>
      <c r="D94" s="145"/>
      <c r="E94" s="145"/>
      <c r="F94" s="145"/>
      <c r="G94" s="145"/>
      <c r="H94" s="145"/>
      <c r="I94" s="32" t="s">
        <v>16</v>
      </c>
      <c r="J94" s="39" t="s">
        <v>39</v>
      </c>
      <c r="K94" s="38">
        <f>Sheet1!M87</f>
        <v>0</v>
      </c>
      <c r="L94" s="38">
        <f>Sheet1!N87</f>
        <v>0</v>
      </c>
    </row>
    <row r="95" spans="1:12" ht="21">
      <c r="A95" s="145"/>
      <c r="B95" s="145"/>
      <c r="C95" s="145"/>
      <c r="D95" s="145"/>
      <c r="E95" s="145"/>
      <c r="F95" s="145"/>
      <c r="G95" s="145"/>
      <c r="H95" s="145"/>
      <c r="I95" s="32" t="s">
        <v>17</v>
      </c>
      <c r="J95" s="39" t="s">
        <v>40</v>
      </c>
      <c r="K95" s="38">
        <f>Sheet1!M88</f>
        <v>0</v>
      </c>
      <c r="L95" s="38">
        <f>Sheet1!N88</f>
        <v>0</v>
      </c>
    </row>
    <row r="96" spans="1:12" ht="21">
      <c r="A96" s="145"/>
      <c r="B96" s="145"/>
      <c r="C96" s="145"/>
      <c r="D96" s="145"/>
      <c r="E96" s="145"/>
      <c r="F96" s="145"/>
      <c r="G96" s="145"/>
      <c r="H96" s="145"/>
      <c r="I96" s="32" t="s">
        <v>18</v>
      </c>
      <c r="J96" s="39" t="s">
        <v>41</v>
      </c>
      <c r="K96" s="38">
        <f>Sheet1!M89</f>
        <v>0</v>
      </c>
      <c r="L96" s="38">
        <f>Sheet1!N89</f>
        <v>0</v>
      </c>
    </row>
    <row r="97" spans="1:12" ht="21">
      <c r="A97" s="145"/>
      <c r="B97" s="145"/>
      <c r="C97" s="145"/>
      <c r="D97" s="145"/>
      <c r="E97" s="145"/>
      <c r="F97" s="145"/>
      <c r="G97" s="145"/>
      <c r="H97" s="145"/>
      <c r="I97" s="32" t="s">
        <v>19</v>
      </c>
      <c r="J97" s="39" t="s">
        <v>42</v>
      </c>
      <c r="K97" s="38">
        <f>Sheet1!M90</f>
        <v>0</v>
      </c>
      <c r="L97" s="38">
        <f>Sheet1!N90</f>
        <v>0</v>
      </c>
    </row>
    <row r="98" spans="1:12" ht="21">
      <c r="A98" s="145"/>
      <c r="B98" s="145"/>
      <c r="C98" s="145"/>
      <c r="D98" s="145"/>
      <c r="E98" s="145"/>
      <c r="F98" s="145"/>
      <c r="G98" s="145"/>
      <c r="H98" s="145"/>
      <c r="I98" s="32" t="s">
        <v>20</v>
      </c>
      <c r="J98" s="39" t="s">
        <v>43</v>
      </c>
      <c r="K98" s="38">
        <f>Sheet1!M91</f>
        <v>0</v>
      </c>
      <c r="L98" s="38">
        <f>Sheet1!N91</f>
        <v>0</v>
      </c>
    </row>
    <row r="99" spans="1:12" ht="21">
      <c r="A99" s="145"/>
      <c r="B99" s="145"/>
      <c r="C99" s="145"/>
      <c r="D99" s="145"/>
      <c r="E99" s="145"/>
      <c r="F99" s="145"/>
      <c r="G99" s="145"/>
      <c r="H99" s="145"/>
      <c r="I99" s="32" t="s">
        <v>10</v>
      </c>
      <c r="J99" s="39" t="s">
        <v>77</v>
      </c>
      <c r="K99" s="38">
        <f>Sheet1!M92</f>
        <v>0</v>
      </c>
      <c r="L99" s="38">
        <f>Sheet1!N92</f>
        <v>0</v>
      </c>
    </row>
    <row r="100" spans="1:12" ht="21">
      <c r="A100" s="145"/>
      <c r="B100" s="145"/>
      <c r="C100" s="145"/>
      <c r="D100" s="145"/>
      <c r="E100" s="145"/>
      <c r="F100" s="145"/>
      <c r="G100" s="145"/>
      <c r="H100" s="145"/>
      <c r="I100" s="32" t="s">
        <v>194</v>
      </c>
      <c r="J100" s="39" t="s">
        <v>195</v>
      </c>
      <c r="K100" s="38">
        <f>Sheet1!M93</f>
        <v>0</v>
      </c>
      <c r="L100" s="38">
        <f>Sheet1!N93</f>
        <v>0</v>
      </c>
    </row>
    <row r="101" spans="1:12" ht="21">
      <c r="A101" s="145"/>
      <c r="B101" s="145"/>
      <c r="C101" s="145"/>
      <c r="D101" s="145"/>
      <c r="E101" s="145"/>
      <c r="F101" s="145"/>
      <c r="G101" s="145"/>
      <c r="H101" s="145"/>
      <c r="I101" s="32" t="s">
        <v>147</v>
      </c>
      <c r="J101" s="39" t="s">
        <v>253</v>
      </c>
      <c r="K101" s="38">
        <f>Sheet1!M94</f>
        <v>0</v>
      </c>
      <c r="L101" s="38">
        <f>Sheet1!N94</f>
        <v>0</v>
      </c>
    </row>
    <row r="102" spans="1:12" ht="21">
      <c r="A102" s="145"/>
      <c r="B102" s="145"/>
      <c r="C102" s="145"/>
      <c r="D102" s="145"/>
      <c r="E102" s="145"/>
      <c r="F102" s="145"/>
      <c r="G102" s="145"/>
      <c r="H102" s="145"/>
      <c r="I102" s="32" t="s">
        <v>138</v>
      </c>
      <c r="J102" s="39" t="s">
        <v>239</v>
      </c>
      <c r="K102" s="38">
        <f>Sheet1!M95</f>
        <v>0</v>
      </c>
      <c r="L102" s="38">
        <f>Sheet1!N95</f>
        <v>0</v>
      </c>
    </row>
    <row r="103" spans="1:12" ht="21">
      <c r="A103" s="145"/>
      <c r="B103" s="145"/>
      <c r="C103" s="145"/>
      <c r="D103" s="145"/>
      <c r="E103" s="145"/>
      <c r="F103" s="145"/>
      <c r="G103" s="145"/>
      <c r="H103" s="145"/>
      <c r="I103" s="32" t="s">
        <v>139</v>
      </c>
      <c r="J103" s="31" t="s">
        <v>240</v>
      </c>
      <c r="K103" s="38">
        <f>Sheet1!M92</f>
        <v>0</v>
      </c>
      <c r="L103" s="38">
        <f>Sheet1!N92</f>
        <v>0</v>
      </c>
    </row>
    <row r="104" spans="1:10" ht="21">
      <c r="A104" s="145"/>
      <c r="B104" s="145"/>
      <c r="C104" s="145"/>
      <c r="D104" s="145"/>
      <c r="E104" s="145"/>
      <c r="F104" s="145"/>
      <c r="G104" s="145"/>
      <c r="H104" s="145"/>
      <c r="I104" s="32" t="s">
        <v>140</v>
      </c>
      <c r="J104" s="31" t="s">
        <v>238</v>
      </c>
    </row>
    <row r="105" spans="1:10" ht="21">
      <c r="A105" s="145"/>
      <c r="B105" s="145"/>
      <c r="C105" s="145"/>
      <c r="D105" s="145"/>
      <c r="E105" s="145"/>
      <c r="F105" s="145"/>
      <c r="G105" s="145"/>
      <c r="H105" s="145"/>
      <c r="I105" s="32" t="s">
        <v>254</v>
      </c>
      <c r="J105" s="31" t="s">
        <v>242</v>
      </c>
    </row>
    <row r="106" spans="1:10" ht="21">
      <c r="A106" s="145"/>
      <c r="B106" s="145"/>
      <c r="C106" s="145"/>
      <c r="D106" s="145"/>
      <c r="E106" s="145"/>
      <c r="F106" s="145"/>
      <c r="G106" s="145"/>
      <c r="H106" s="145"/>
      <c r="I106" s="32" t="s">
        <v>141</v>
      </c>
      <c r="J106" s="31" t="s">
        <v>236</v>
      </c>
    </row>
    <row r="107" spans="1:10" ht="21">
      <c r="A107" s="145"/>
      <c r="B107" s="145"/>
      <c r="C107" s="145"/>
      <c r="D107" s="145"/>
      <c r="E107" s="145"/>
      <c r="F107" s="145"/>
      <c r="G107" s="145"/>
      <c r="H107" s="145"/>
      <c r="I107" s="32" t="s">
        <v>142</v>
      </c>
      <c r="J107" s="31" t="s">
        <v>237</v>
      </c>
    </row>
    <row r="108" spans="1:10" ht="21">
      <c r="A108" s="145"/>
      <c r="B108" s="145"/>
      <c r="C108" s="145"/>
      <c r="D108" s="145"/>
      <c r="E108" s="145"/>
      <c r="F108" s="145"/>
      <c r="G108" s="145"/>
      <c r="H108" s="145"/>
      <c r="I108" s="32" t="s">
        <v>135</v>
      </c>
      <c r="J108" s="31" t="s">
        <v>255</v>
      </c>
    </row>
    <row r="109" spans="1:10" ht="21">
      <c r="A109" s="145"/>
      <c r="B109" s="145"/>
      <c r="C109" s="145"/>
      <c r="D109" s="145"/>
      <c r="E109" s="145"/>
      <c r="F109" s="145"/>
      <c r="G109" s="145"/>
      <c r="H109" s="145"/>
      <c r="I109" s="32" t="s">
        <v>131</v>
      </c>
      <c r="J109" s="31" t="s">
        <v>244</v>
      </c>
    </row>
    <row r="110" spans="1:10" ht="21">
      <c r="A110" s="145"/>
      <c r="B110" s="145"/>
      <c r="C110" s="145"/>
      <c r="D110" s="145"/>
      <c r="E110" s="145"/>
      <c r="F110" s="145"/>
      <c r="G110" s="145"/>
      <c r="H110" s="145"/>
      <c r="I110" s="32" t="s">
        <v>96</v>
      </c>
      <c r="J110" s="39" t="s">
        <v>245</v>
      </c>
    </row>
    <row r="111" spans="1:10" ht="21">
      <c r="A111" s="145"/>
      <c r="B111" s="145"/>
      <c r="C111" s="145"/>
      <c r="D111" s="145"/>
      <c r="E111" s="145"/>
      <c r="F111" s="145"/>
      <c r="G111" s="145"/>
      <c r="H111" s="145"/>
      <c r="I111" s="32" t="s">
        <v>21</v>
      </c>
      <c r="J111" s="31" t="s">
        <v>246</v>
      </c>
    </row>
    <row r="112" spans="1:10" ht="21">
      <c r="A112" s="145"/>
      <c r="B112" s="145"/>
      <c r="C112" s="145"/>
      <c r="D112" s="145"/>
      <c r="E112" s="145"/>
      <c r="F112" s="145"/>
      <c r="G112" s="145"/>
      <c r="H112" s="145"/>
      <c r="I112" s="32" t="s">
        <v>247</v>
      </c>
      <c r="J112" s="39" t="s">
        <v>248</v>
      </c>
    </row>
    <row r="113" spans="1:10" ht="21">
      <c r="A113" s="145"/>
      <c r="B113" s="145"/>
      <c r="C113" s="145"/>
      <c r="D113" s="145"/>
      <c r="E113" s="145"/>
      <c r="F113" s="145"/>
      <c r="G113" s="145"/>
      <c r="H113" s="145"/>
      <c r="I113" s="32" t="s">
        <v>87</v>
      </c>
      <c r="J113" s="39" t="s">
        <v>256</v>
      </c>
    </row>
    <row r="114" spans="1:10" ht="21">
      <c r="A114" s="145"/>
      <c r="B114" s="145"/>
      <c r="C114" s="145"/>
      <c r="D114" s="145"/>
      <c r="E114" s="145"/>
      <c r="F114" s="145"/>
      <c r="G114" s="145"/>
      <c r="H114" s="145"/>
      <c r="I114" s="32" t="s">
        <v>11</v>
      </c>
      <c r="J114" s="39" t="s">
        <v>243</v>
      </c>
    </row>
    <row r="115" spans="1:10" ht="21">
      <c r="A115" s="145"/>
      <c r="B115" s="145"/>
      <c r="C115" s="145"/>
      <c r="D115" s="145"/>
      <c r="E115" s="145"/>
      <c r="F115" s="145"/>
      <c r="G115" s="145"/>
      <c r="H115" s="145"/>
      <c r="I115" s="32" t="s">
        <v>12</v>
      </c>
      <c r="J115" s="39" t="s">
        <v>110</v>
      </c>
    </row>
    <row r="116" spans="9:10" ht="21">
      <c r="I116" s="32" t="s">
        <v>257</v>
      </c>
      <c r="J116" s="39" t="s">
        <v>258</v>
      </c>
    </row>
    <row r="117" spans="9:10" ht="21">
      <c r="I117" s="32" t="s">
        <v>188</v>
      </c>
      <c r="J117" s="31" t="s">
        <v>219</v>
      </c>
    </row>
    <row r="118" spans="9:12" ht="21">
      <c r="I118" s="33" t="s">
        <v>170</v>
      </c>
      <c r="J118" s="31" t="s">
        <v>219</v>
      </c>
      <c r="L118" s="61" t="s">
        <v>342</v>
      </c>
    </row>
    <row r="119" spans="9:10" ht="21">
      <c r="I119" s="33" t="s">
        <v>199</v>
      </c>
      <c r="J119" s="31" t="s">
        <v>219</v>
      </c>
    </row>
    <row r="120" spans="9:10" ht="21">
      <c r="I120" s="33" t="s">
        <v>171</v>
      </c>
      <c r="J120" s="31" t="s">
        <v>219</v>
      </c>
    </row>
    <row r="121" spans="9:10" ht="21">
      <c r="I121" s="130" t="s">
        <v>283</v>
      </c>
      <c r="J121" s="31" t="s">
        <v>219</v>
      </c>
    </row>
    <row r="122" spans="9:10" ht="21">
      <c r="I122" s="33" t="s">
        <v>284</v>
      </c>
      <c r="J122" s="31" t="s">
        <v>219</v>
      </c>
    </row>
    <row r="123" spans="1:12" ht="19.5" thickBot="1">
      <c r="A123" s="233" t="s">
        <v>341</v>
      </c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</row>
    <row r="124" spans="1:12" ht="19.5" thickBot="1">
      <c r="A124" s="225" t="s">
        <v>0</v>
      </c>
      <c r="B124" s="226"/>
      <c r="C124" s="226"/>
      <c r="D124" s="226"/>
      <c r="E124" s="226"/>
      <c r="F124" s="226"/>
      <c r="G124" s="226"/>
      <c r="H124" s="227"/>
      <c r="I124" s="159"/>
      <c r="J124" s="159"/>
      <c r="K124" s="225" t="s">
        <v>67</v>
      </c>
      <c r="L124" s="227"/>
    </row>
    <row r="125" spans="1:12" ht="18.75">
      <c r="A125" s="149"/>
      <c r="B125" s="150"/>
      <c r="C125" s="228" t="s">
        <v>333</v>
      </c>
      <c r="D125" s="229"/>
      <c r="E125" s="149"/>
      <c r="F125" s="150"/>
      <c r="G125" s="149"/>
      <c r="H125" s="147"/>
      <c r="I125" s="151" t="s">
        <v>4</v>
      </c>
      <c r="J125" s="152" t="s">
        <v>5</v>
      </c>
      <c r="K125" s="230" t="s">
        <v>7</v>
      </c>
      <c r="L125" s="231"/>
    </row>
    <row r="126" spans="1:12" ht="18.75">
      <c r="A126" s="230" t="s">
        <v>1</v>
      </c>
      <c r="B126" s="231"/>
      <c r="C126" s="230" t="s">
        <v>334</v>
      </c>
      <c r="D126" s="231"/>
      <c r="E126" s="230" t="s">
        <v>32</v>
      </c>
      <c r="F126" s="231"/>
      <c r="G126" s="230" t="s">
        <v>3</v>
      </c>
      <c r="H126" s="232"/>
      <c r="I126" s="145"/>
      <c r="J126" s="152" t="s">
        <v>6</v>
      </c>
      <c r="K126" s="230" t="s">
        <v>3</v>
      </c>
      <c r="L126" s="231"/>
    </row>
    <row r="127" spans="1:12" ht="19.5" thickBot="1">
      <c r="A127" s="222" t="s">
        <v>336</v>
      </c>
      <c r="B127" s="223"/>
      <c r="C127" s="222" t="s">
        <v>335</v>
      </c>
      <c r="D127" s="223"/>
      <c r="E127" s="222" t="s">
        <v>336</v>
      </c>
      <c r="F127" s="223"/>
      <c r="G127" s="222" t="s">
        <v>336</v>
      </c>
      <c r="H127" s="224"/>
      <c r="I127" s="158"/>
      <c r="J127" s="157"/>
      <c r="K127" s="222" t="s">
        <v>2</v>
      </c>
      <c r="L127" s="223"/>
    </row>
    <row r="128" spans="9:10" ht="21.75" thickTop="1">
      <c r="I128" s="103" t="s">
        <v>172</v>
      </c>
      <c r="J128" s="31" t="s">
        <v>219</v>
      </c>
    </row>
    <row r="129" spans="9:10" ht="21">
      <c r="I129" s="103" t="s">
        <v>173</v>
      </c>
      <c r="J129" s="31" t="s">
        <v>219</v>
      </c>
    </row>
    <row r="130" spans="9:10" ht="21">
      <c r="I130" s="103" t="s">
        <v>174</v>
      </c>
      <c r="J130" s="31" t="s">
        <v>219</v>
      </c>
    </row>
    <row r="131" spans="9:10" ht="21">
      <c r="I131" s="141" t="s">
        <v>288</v>
      </c>
      <c r="J131" s="31" t="s">
        <v>219</v>
      </c>
    </row>
    <row r="132" spans="9:10" ht="21">
      <c r="I132" s="103" t="s">
        <v>307</v>
      </c>
      <c r="J132" s="31" t="s">
        <v>219</v>
      </c>
    </row>
    <row r="133" spans="9:10" ht="21">
      <c r="I133" s="103" t="s">
        <v>173</v>
      </c>
      <c r="J133" s="31" t="s">
        <v>219</v>
      </c>
    </row>
    <row r="134" spans="9:10" ht="21">
      <c r="I134" s="103" t="s">
        <v>175</v>
      </c>
      <c r="J134" s="31" t="s">
        <v>219</v>
      </c>
    </row>
    <row r="135" spans="9:10" ht="21">
      <c r="I135" s="103" t="s">
        <v>176</v>
      </c>
      <c r="J135" s="31" t="s">
        <v>219</v>
      </c>
    </row>
    <row r="136" spans="9:10" ht="21">
      <c r="I136" s="103" t="s">
        <v>216</v>
      </c>
      <c r="J136" s="31" t="s">
        <v>219</v>
      </c>
    </row>
    <row r="137" spans="9:10" ht="21">
      <c r="I137" s="103" t="s">
        <v>177</v>
      </c>
      <c r="J137" s="31" t="s">
        <v>219</v>
      </c>
    </row>
    <row r="138" spans="9:10" ht="21">
      <c r="I138" s="103" t="s">
        <v>217</v>
      </c>
      <c r="J138" s="31" t="s">
        <v>219</v>
      </c>
    </row>
    <row r="139" spans="9:10" ht="21">
      <c r="I139" s="103" t="s">
        <v>178</v>
      </c>
      <c r="J139" s="31" t="s">
        <v>219</v>
      </c>
    </row>
    <row r="140" spans="9:10" ht="21">
      <c r="I140" s="103" t="s">
        <v>179</v>
      </c>
      <c r="J140" s="31" t="s">
        <v>219</v>
      </c>
    </row>
    <row r="141" spans="9:10" ht="21">
      <c r="I141" s="103" t="s">
        <v>223</v>
      </c>
      <c r="J141" s="31" t="s">
        <v>219</v>
      </c>
    </row>
    <row r="142" spans="9:10" ht="21">
      <c r="I142" s="103" t="s">
        <v>180</v>
      </c>
      <c r="J142" s="31" t="s">
        <v>219</v>
      </c>
    </row>
    <row r="143" spans="9:10" ht="21">
      <c r="I143" s="103" t="s">
        <v>181</v>
      </c>
      <c r="J143" s="31" t="s">
        <v>219</v>
      </c>
    </row>
    <row r="144" spans="9:10" ht="21">
      <c r="I144" s="103" t="s">
        <v>308</v>
      </c>
      <c r="J144" s="31" t="s">
        <v>219</v>
      </c>
    </row>
    <row r="145" spans="9:10" ht="21">
      <c r="I145" s="103" t="s">
        <v>328</v>
      </c>
      <c r="J145" s="31" t="s">
        <v>219</v>
      </c>
    </row>
    <row r="146" spans="9:10" ht="21">
      <c r="I146" s="103" t="s">
        <v>329</v>
      </c>
      <c r="J146" s="31" t="s">
        <v>219</v>
      </c>
    </row>
    <row r="147" spans="9:10" ht="21">
      <c r="I147" s="103" t="s">
        <v>287</v>
      </c>
      <c r="J147" s="31" t="s">
        <v>219</v>
      </c>
    </row>
    <row r="148" spans="9:10" ht="21">
      <c r="I148" s="103" t="s">
        <v>185</v>
      </c>
      <c r="J148" s="31" t="s">
        <v>219</v>
      </c>
    </row>
    <row r="149" spans="9:10" ht="21">
      <c r="I149" s="103" t="s">
        <v>210</v>
      </c>
      <c r="J149" s="31" t="s">
        <v>219</v>
      </c>
    </row>
    <row r="151" ht="21">
      <c r="I151" s="41" t="s">
        <v>23</v>
      </c>
    </row>
    <row r="152" ht="21">
      <c r="I152" s="41" t="s">
        <v>24</v>
      </c>
    </row>
    <row r="153" ht="21">
      <c r="I153" s="41" t="s">
        <v>27</v>
      </c>
    </row>
    <row r="154" ht="21">
      <c r="I154" s="41" t="s">
        <v>28</v>
      </c>
    </row>
    <row r="155" ht="21">
      <c r="I155" s="41" t="s">
        <v>25</v>
      </c>
    </row>
  </sheetData>
  <sheetProtection/>
  <mergeCells count="60">
    <mergeCell ref="A82:L82"/>
    <mergeCell ref="A83:H83"/>
    <mergeCell ref="K83:L83"/>
    <mergeCell ref="C84:D84"/>
    <mergeCell ref="K84:L84"/>
    <mergeCell ref="A85:B85"/>
    <mergeCell ref="C85:D85"/>
    <mergeCell ref="E85:F85"/>
    <mergeCell ref="G85:H85"/>
    <mergeCell ref="K85:L85"/>
    <mergeCell ref="C43:D43"/>
    <mergeCell ref="K43:L43"/>
    <mergeCell ref="A44:B44"/>
    <mergeCell ref="C44:D44"/>
    <mergeCell ref="E44:F44"/>
    <mergeCell ref="G44:H44"/>
    <mergeCell ref="K44:L44"/>
    <mergeCell ref="A43:B43"/>
    <mergeCell ref="E43:F43"/>
    <mergeCell ref="G43:H43"/>
    <mergeCell ref="G6:H6"/>
    <mergeCell ref="G7:H7"/>
    <mergeCell ref="A2:M2"/>
    <mergeCell ref="A4:H4"/>
    <mergeCell ref="K4:L4"/>
    <mergeCell ref="K42:L42"/>
    <mergeCell ref="A41:H41"/>
    <mergeCell ref="K41:L41"/>
    <mergeCell ref="C42:D42"/>
    <mergeCell ref="A40:L40"/>
    <mergeCell ref="K5:L5"/>
    <mergeCell ref="K6:L6"/>
    <mergeCell ref="K7:L7"/>
    <mergeCell ref="A6:B6"/>
    <mergeCell ref="A7:B7"/>
    <mergeCell ref="C5:D5"/>
    <mergeCell ref="C6:D6"/>
    <mergeCell ref="C7:D7"/>
    <mergeCell ref="E6:F6"/>
    <mergeCell ref="E7:F7"/>
    <mergeCell ref="C126:D126"/>
    <mergeCell ref="E126:F126"/>
    <mergeCell ref="G126:H126"/>
    <mergeCell ref="K126:L126"/>
    <mergeCell ref="A86:B86"/>
    <mergeCell ref="C86:D86"/>
    <mergeCell ref="E86:F86"/>
    <mergeCell ref="G86:H86"/>
    <mergeCell ref="K86:L86"/>
    <mergeCell ref="A123:L123"/>
    <mergeCell ref="A127:B127"/>
    <mergeCell ref="C127:D127"/>
    <mergeCell ref="E127:F127"/>
    <mergeCell ref="G127:H127"/>
    <mergeCell ref="K127:L127"/>
    <mergeCell ref="A124:H124"/>
    <mergeCell ref="K124:L124"/>
    <mergeCell ref="C125:D125"/>
    <mergeCell ref="K125:L125"/>
    <mergeCell ref="A126:B126"/>
  </mergeCells>
  <printOptions/>
  <pageMargins left="0.1968503937007874" right="0.15748031496062992" top="0.31496062992125984" bottom="0.2362204724409449" header="0.15748031496062992" footer="0.15748031496062992"/>
  <pageSetup orientation="portrait" paperSize="9" scale="83" r:id="rId2"/>
  <rowBreaks count="3" manualBreakCount="3">
    <brk id="39" max="19" man="1"/>
    <brk id="81" max="19" man="1"/>
    <brk id="122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Mr.KKD</cp:lastModifiedBy>
  <cp:lastPrinted>2016-08-08T04:51:36Z</cp:lastPrinted>
  <dcterms:created xsi:type="dcterms:W3CDTF">2004-10-29T06:51:22Z</dcterms:created>
  <dcterms:modified xsi:type="dcterms:W3CDTF">2016-08-08T04:54:43Z</dcterms:modified>
  <cp:category/>
  <cp:version/>
  <cp:contentType/>
  <cp:contentStatus/>
</cp:coreProperties>
</file>