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4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  <sheet name="รับจ่ายใหม่" sheetId="7" r:id="rId7"/>
  </sheets>
  <definedNames>
    <definedName name="_xlnm.Print_Area" localSheetId="1">'Sheet1'!$A$1:$P$161</definedName>
    <definedName name="_xlnm.Print_Area" localSheetId="0">'กระแสเงินสด'!$A$1:$M$150</definedName>
    <definedName name="_xlnm.Print_Area" localSheetId="3">'งบทดลอง'!$A$1:$K$64</definedName>
    <definedName name="_xlnm.Print_Area" localSheetId="2">'รับจ่าย'!$A$1:$X$173</definedName>
    <definedName name="_xlnm.Print_Area" localSheetId="6">'รับจ่ายใหม่'!$A$1:$T$166</definedName>
    <definedName name="_xlnm.Print_Area" localSheetId="4">'หมายเหตุ'!$A$1:$R$44</definedName>
    <definedName name="_xlnm.Print_Area" localSheetId="5">'หมายเหตุยกมา'!$A$1:$I$41</definedName>
  </definedNames>
  <calcPr fullCalcOnLoad="1"/>
</workbook>
</file>

<file path=xl/sharedStrings.xml><?xml version="1.0" encoding="utf-8"?>
<sst xmlns="http://schemas.openxmlformats.org/spreadsheetml/2006/main" count="1364" uniqueCount="405">
  <si>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</si>
  <si>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</si>
  <si>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</si>
  <si>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</si>
  <si>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</si>
  <si>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</si>
  <si>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</si>
  <si>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</si>
  <si>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</si>
  <si>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</si>
  <si>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</si>
  <si>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</si>
  <si>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</si>
  <si>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</si>
  <si>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</si>
  <si>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</si>
  <si>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</si>
  <si>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</si>
  <si>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</si>
  <si>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</si>
  <si>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</si>
  <si>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</si>
  <si>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</si>
  <si>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</si>
  <si>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</si>
  <si>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</si>
  <si>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</si>
  <si>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</si>
  <si>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</si>
  <si>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</si>
  <si>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</si>
  <si>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</si>
  <si>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</si>
  <si>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</si>
  <si>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</si>
  <si>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</si>
  <si>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</si>
  <si>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</si>
  <si>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</si>
  <si>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</si>
  <si>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</si>
  <si>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</si>
  <si>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</si>
  <si>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</si>
  <si>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</si>
  <si>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</si>
  <si>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</si>
  <si>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</si>
  <si>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</si>
  <si>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</si>
  <si>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</si>
  <si>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</si>
  <si>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</si>
  <si>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</si>
  <si>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</si>
  <si>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</si>
  <si>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</si>
  <si>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</si>
  <si>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</si>
  <si>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</si>
  <si>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</si>
  <si>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</si>
  <si>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</si>
  <si>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</si>
  <si>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</si>
  <si>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</si>
  <si>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</si>
  <si>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</si>
  <si>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</si>
  <si>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</si>
  <si>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</si>
  <si>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</si>
  <si>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</si>
  <si>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</si>
  <si>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</si>
  <si>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</si>
  <si>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</si>
  <si>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</si>
  <si>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</si>
  <si>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</si>
  <si>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</si>
  <si>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</si>
  <si>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</si>
  <si>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</si>
  <si>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</si>
  <si>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</si>
  <si>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</si>
  <si>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</si>
  <si>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</si>
  <si>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</si>
  <si>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</si>
  <si>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</si>
  <si>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</si>
  <si>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</si>
  <si>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</si>
  <si>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</si>
  <si>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</si>
  <si>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</si>
  <si>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</si>
  <si>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</si>
  <si>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</si>
  <si>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</si>
  <si>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</si>
  <si>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</si>
  <si>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</si>
  <si>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</si>
  <si>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</si>
  <si>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</si>
  <si>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</si>
  <si>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</si>
  <si>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</si>
  <si>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</si>
  <si>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</si>
  <si>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</si>
  <si>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</si>
  <si>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</si>
  <si>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</si>
  <si>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</si>
  <si>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</si>
  <si>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</si>
  <si>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</si>
  <si>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</si>
  <si>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</si>
  <si>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</si>
  <si>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</si>
  <si>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</si>
  <si>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</si>
  <si>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</si>
  <si>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</si>
  <si>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</si>
  <si>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</si>
  <si>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</si>
  <si>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</si>
  <si>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</si>
  <si>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</si>
  <si>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</si>
  <si>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</si>
  <si>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</si>
  <si>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</si>
  <si>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</si>
  <si>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</si>
  <si>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</si>
  <si>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</si>
  <si>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</si>
  <si>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</si>
  <si>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</si>
  <si>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</si>
  <si>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</si>
  <si>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</si>
  <si>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</si>
  <si>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</si>
  <si>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</si>
  <si>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</si>
  <si>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</si>
  <si>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</si>
  <si>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</si>
  <si>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</si>
  <si>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</si>
  <si>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</si>
  <si>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</si>
  <si>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</si>
  <si>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</si>
  <si>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</si>
  <si>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</si>
  <si>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</si>
  <si>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</si>
  <si>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</si>
  <si>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</si>
  <si>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</si>
  <si>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</si>
  <si>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</si>
  <si>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</si>
  <si>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</si>
  <si>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</si>
  <si>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</si>
  <si>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</si>
  <si>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</si>
  <si>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</si>
  <si>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</si>
  <si>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</si>
  <si>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</si>
  <si>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</si>
  <si>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</si>
  <si>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</si>
  <si>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</si>
  <si>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</si>
  <si>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</si>
  <si>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</si>
  <si>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</si>
  <si>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</si>
  <si>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</si>
  <si>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</si>
  <si>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</si>
  <si>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</si>
  <si>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</si>
  <si>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</si>
  <si>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</si>
  <si>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</si>
  <si>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</si>
  <si>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</si>
  <si>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</si>
  <si>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</si>
  <si>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</si>
  <si>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</si>
  <si>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</si>
  <si>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</si>
  <si>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</si>
  <si>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</si>
  <si>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</si>
  <si>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</si>
  <si>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</si>
  <si>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</si>
  <si>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</si>
  <si>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</si>
  <si>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</si>
  <si>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</si>
  <si>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</si>
  <si>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</si>
  <si>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</si>
  <si>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</si>
  <si>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</si>
  <si>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</si>
  <si>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</si>
  <si>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</si>
  <si>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</si>
  <si>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</si>
  <si>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</si>
  <si>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</si>
  <si>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</si>
  <si>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</si>
  <si>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</si>
  <si>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</si>
  <si>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</si>
  <si>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</si>
  <si>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</si>
  <si>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</si>
  <si>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</si>
  <si>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</si>
  <si>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</si>
  <si>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</si>
  <si>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</si>
  <si>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</si>
  <si>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</si>
  <si>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</si>
  <si>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</si>
  <si>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</si>
  <si>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</si>
  <si>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</si>
  <si>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</si>
  <si>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</si>
  <si>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</si>
  <si>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</si>
  <si>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</si>
  <si>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</si>
  <si>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</si>
  <si>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</si>
  <si>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</si>
  <si>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</si>
  <si>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</si>
  <si>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</si>
  <si>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</si>
  <si>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</si>
  <si>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</si>
  <si>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</si>
  <si>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</si>
  <si>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</si>
  <si>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</si>
  <si>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</si>
  <si>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</si>
  <si>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</si>
  <si>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</si>
  <si>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</si>
  <si>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</si>
  <si>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</si>
  <si>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</si>
  <si>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</si>
  <si>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</si>
  <si>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</si>
  <si>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</si>
  <si>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</si>
  <si>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</si>
  <si>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</si>
  <si>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</si>
  <si>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</si>
  <si>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</si>
  <si>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</si>
  <si>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</si>
  <si>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</si>
  <si>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</si>
  <si>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</si>
  <si>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</si>
  <si>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</si>
  <si>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</si>
  <si>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</si>
  <si>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</si>
  <si>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</si>
  <si>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</si>
  <si>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</si>
  <si>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</si>
  <si>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</si>
  <si>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</si>
  <si>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</si>
  <si>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</si>
  <si>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</si>
  <si>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</si>
  <si>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</si>
  <si>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</si>
  <si>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</si>
  <si>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</si>
  <si>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</si>
  <si>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</si>
  <si>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</si>
  <si>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</si>
  <si>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</si>
  <si>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</si>
  <si>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</si>
  <si>
    <t>เพื่อปรับสภาพที่อยู่อาศัยแก่คนพิการ</t>
  </si>
  <si>
    <t>รับเงินอุดหนุนระบุวัตถุประสงค์ - ค่าตอบแทนเงินเพิ่มค่าครองชีพฯ ผดด.</t>
  </si>
  <si>
    <t>รับเงินอุดหนุนระบุวัตถุประสงค์ - ประกันสังคม</t>
  </si>
  <si>
    <t>จ่ายเงินอุดหนุนทั่วไปกำหนดวัตถุประสงค์ - ค่าเช่าบ้าน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</si>
  <si>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</si>
  <si>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</si>
  <si>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เงินอุดหนุนทั่วไประบุวัตถุประสงค์-ค่าตอบแทนผู้ดูแลเด็ก</t>
  </si>
  <si>
    <t>เงินอุดหนุนทั่วไประบุวัตถุประสงค์-เงินประกันสังคม</t>
  </si>
  <si>
    <t>รับคืน - เงินเดือนฝ่ายประจำ (ค่าจ้างชั่วคราว)</t>
  </si>
  <si>
    <t>จ่ายเงินอุดหนุนระบุวัตถุประสงค์ - ค่าตอบแทน ผดด.ศูนย์พัฒนาเด็กฯ</t>
  </si>
  <si>
    <t>จ่ายเงินอุดหนุนระบุวัตถุประสงค์ - เงินประกันสังคม ผดด.ศูนย์เด็กฯ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</si>
  <si>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</si>
  <si>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</si>
  <si>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>รับเงินอุดหนุนทั่วไประบุวัตถุประสงค์ - เบี้ยยังชีพผู้สูงอายุ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</si>
  <si>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</si>
  <si>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</si>
  <si>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</si>
  <si>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</si>
  <si>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</si>
  <si>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</si>
  <si>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                                                                                                                                  ปีงบประมาณ 2559</t>
  </si>
  <si>
    <t xml:space="preserve">                 เดือน    มิถุนายน  2559</t>
  </si>
  <si>
    <t xml:space="preserve"> -2-</t>
  </si>
  <si>
    <t xml:space="preserve"> -3-</t>
  </si>
  <si>
    <t xml:space="preserve"> -4-</t>
  </si>
  <si>
    <t xml:space="preserve">                </t>
  </si>
  <si>
    <t>จากรับจริง</t>
  </si>
  <si>
    <t>โครงการอบรมและตรวจคัดกรองระดับสารเคมีในเลือด</t>
  </si>
  <si>
    <t>รับคืน - เงินเดือนฝ่ายประจำ (ข้าราฃการการเมือง)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</si>
  <si>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</si>
  <si>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</si>
  <si>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</si>
  <si>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</si>
  <si>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</si>
  <si>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</si>
  <si>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</si>
  <si>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</si>
  <si>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</si>
  <si>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</si>
  <si>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</si>
  <si>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</si>
  <si>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เงินอุดหนุนทั่วไปกำหนดวัตถุประสงค์-โครงการก่อสร้างอาคาร ศพด.บ้านเป็ด</t>
  </si>
  <si>
    <t>*</t>
  </si>
  <si>
    <t>รับคืนลูกหนี้ - ภาษีป้าย</t>
  </si>
  <si>
    <t>รับเงินอุดหนุนทั่วไปกำหนดวัตถุประสงค์ - โครงการก่อสร้างอาคารเรียน ศพด.บ้านเป็ด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</si>
  <si>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</si>
  <si>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</si>
  <si>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โครงการส่งเสริมสุขภาพฯ ศพด.บ้านเป็ด</t>
  </si>
  <si>
    <t>โครงการส่งเสริมสุขภาพฯ ศพด.บ้านโคกฟันโปง</t>
  </si>
  <si>
    <t>เงินอุดหนุนทั่วไปกำหนดวัตถุประสงค์-โครงการก่อสร้างอาคารเรียนฯ</t>
  </si>
  <si>
    <t>จ่ายเงินอุดหนุนทั่วไปกำหนดวัตถุประสงค์ - ค่าจัดการเรียนการสอน</t>
  </si>
  <si>
    <t>จ่ายเงินอุดหนุนทั่วไปกำหนดวัตถุประสงค์ - ค่ก่อสร้างอาคาร ศพด.บ้านเป็ด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</si>
  <si>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</si>
  <si>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</si>
  <si>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</si>
  <si>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</si>
  <si>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</si>
  <si>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</si>
  <si>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</si>
  <si>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</si>
  <si>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</si>
  <si>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</si>
  <si>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</si>
  <si>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รายงานรับ - จ่ายเงินสด</t>
  </si>
  <si>
    <t>เงินอุดหนุนทั่วไปกำหนดวัตถุประสงค์ - ค่าช่วยเหลือบุตร</t>
  </si>
  <si>
    <t>1  กันยายน  2559  - 30  กันยายน  2559</t>
  </si>
  <si>
    <t>1  ตุลาคม  2558 -  30  กันยายน  2559</t>
  </si>
  <si>
    <t>รับคืน - เงินยืมเงินนอกงบประมาณ - โครงการส่งเสริมสุขภาพ ศพด.บ้านโคก</t>
  </si>
  <si>
    <t>รับคืน - เงินยืมเงินนอกงบประมาณ - โครงการส่งเสริมสุขภาพ ศพด.บ้านเป็ด</t>
  </si>
  <si>
    <t>รับคืน -ทุนสำรองเงินสะสม</t>
  </si>
  <si>
    <t>ลูกหนี้เงินยืมเงินนอกงบประมาณ โครงการอบรมและคัดกรองฯ</t>
  </si>
  <si>
    <t>ภาษีโรงเรือนและที่ดิน</t>
  </si>
  <si>
    <t>เพียงวันที่   30  กันยายน  2559</t>
  </si>
  <si>
    <t>รับคืนเงินนอกฯโครงการส่งเสริมสุขภาพ ศพด.บ้านโคกฟันโปง</t>
  </si>
  <si>
    <t>รับคืนเงินนอกฯโครงการส่งเสริมสุขภาพ ศพด.บ้านเป็ด</t>
  </si>
  <si>
    <t>ลูกหนี้เงินยืมเงินนอกงบประมาณ โครงการอบรมและคัดกรองสุขภาพ</t>
  </si>
  <si>
    <t xml:space="preserve">      เดือน กันยายน  2559</t>
  </si>
  <si>
    <t xml:space="preserve">ณ   วันที่  30  กันยายน  พ.ศ. 2559 </t>
  </si>
  <si>
    <t xml:space="preserve">          รายจ่ายผลัดส่งใบสำคัญ</t>
  </si>
  <si>
    <t>เศรษฐกิจชุมชน</t>
  </si>
  <si>
    <t>รายจ่ายผลัดส่งใบสำคัญ</t>
  </si>
  <si>
    <t>รับคืน - เงินยืมเงินนอกงบประมาณ - โครงการอบรมและคัดกรองฯ</t>
  </si>
  <si>
    <t>รับคืนเงินนอกฯโครงการอบรมและคัดกรองสุขภาพ</t>
  </si>
  <si>
    <t>ขวา</t>
  </si>
  <si>
    <t>ซ้าย</t>
  </si>
  <si>
    <t>เจ้าหนี้เงินกู้ ธนาคารกรุงไทย</t>
  </si>
  <si>
    <t>เจ้าหนี้เงินกู้ ก.ส.ท.</t>
  </si>
  <si>
    <t>431005</t>
  </si>
  <si>
    <t>221203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</si>
</sst>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4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sz val="1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204" fontId="5" fillId="0" borderId="17" xfId="38" applyNumberFormat="1" applyFont="1" applyBorder="1" applyAlignment="1">
      <alignment/>
    </xf>
    <xf numFmtId="204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204" fontId="5" fillId="0" borderId="10" xfId="38" applyNumberFormat="1" applyFont="1" applyBorder="1" applyAlignment="1">
      <alignment/>
    </xf>
    <xf numFmtId="204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204" fontId="5" fillId="0" borderId="17" xfId="38" applyNumberFormat="1" applyFont="1" applyBorder="1" applyAlignment="1">
      <alignment vertical="top"/>
    </xf>
    <xf numFmtId="204" fontId="5" fillId="0" borderId="17" xfId="0" applyNumberFormat="1" applyFont="1" applyBorder="1" applyAlignment="1">
      <alignment vertical="top"/>
    </xf>
    <xf numFmtId="204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204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98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204" fontId="4" fillId="0" borderId="32" xfId="38" applyNumberFormat="1" applyFont="1" applyBorder="1" applyAlignment="1">
      <alignment vertical="top"/>
    </xf>
    <xf numFmtId="204" fontId="4" fillId="0" borderId="32" xfId="38" applyNumberFormat="1" applyFont="1" applyFill="1" applyBorder="1" applyAlignment="1">
      <alignment vertical="top"/>
    </xf>
    <xf numFmtId="204" fontId="4" fillId="0" borderId="11" xfId="0" applyNumberFormat="1" applyFont="1" applyBorder="1" applyAlignment="1">
      <alignment vertical="top"/>
    </xf>
    <xf numFmtId="204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204" fontId="4" fillId="0" borderId="12" xfId="38" applyNumberFormat="1" applyFont="1" applyBorder="1" applyAlignment="1">
      <alignment vertical="top"/>
    </xf>
    <xf numFmtId="204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204" fontId="4" fillId="0" borderId="11" xfId="0" applyNumberFormat="1" applyFont="1" applyBorder="1" applyAlignment="1">
      <alignment/>
    </xf>
    <xf numFmtId="204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49" fontId="5" fillId="0" borderId="37" xfId="0" applyNumberFormat="1" applyFont="1" applyBorder="1" applyAlignment="1">
      <alignment horizontal="center" vertical="center"/>
    </xf>
    <xf numFmtId="43" fontId="4" fillId="0" borderId="37" xfId="38" applyFont="1" applyBorder="1" applyAlignment="1">
      <alignment vertical="center"/>
    </xf>
    <xf numFmtId="43" fontId="5" fillId="0" borderId="37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8" xfId="0" applyFont="1" applyFill="1" applyBorder="1" applyAlignment="1">
      <alignment horizontal="left" vertical="center"/>
    </xf>
    <xf numFmtId="43" fontId="5" fillId="0" borderId="39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0" xfId="0" applyFont="1" applyFill="1" applyBorder="1" applyAlignment="1">
      <alignment/>
    </xf>
    <xf numFmtId="43" fontId="4" fillId="0" borderId="0" xfId="38" applyFont="1" applyBorder="1" applyAlignment="1">
      <alignment vertical="top"/>
    </xf>
    <xf numFmtId="0" fontId="5" fillId="0" borderId="40" xfId="0" applyFont="1" applyFill="1" applyBorder="1" applyAlignment="1">
      <alignment horizontal="left" vertical="center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3" fontId="7" fillId="0" borderId="42" xfId="38" applyFont="1" applyBorder="1" applyAlignment="1">
      <alignment/>
    </xf>
    <xf numFmtId="43" fontId="7" fillId="0" borderId="43" xfId="38" applyFont="1" applyBorder="1" applyAlignment="1">
      <alignment/>
    </xf>
    <xf numFmtId="0" fontId="7" fillId="0" borderId="47" xfId="0" applyFont="1" applyBorder="1" applyAlignment="1">
      <alignment/>
    </xf>
    <xf numFmtId="0" fontId="4" fillId="0" borderId="31" xfId="0" applyFont="1" applyBorder="1" applyAlignment="1">
      <alignment/>
    </xf>
    <xf numFmtId="0" fontId="14" fillId="0" borderId="48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51" xfId="0" applyFont="1" applyBorder="1" applyAlignment="1">
      <alignment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52" xfId="0" applyFont="1" applyBorder="1" applyAlignment="1">
      <alignment/>
    </xf>
    <xf numFmtId="0" fontId="8" fillId="0" borderId="53" xfId="0" applyFont="1" applyFill="1" applyBorder="1" applyAlignment="1">
      <alignment/>
    </xf>
    <xf numFmtId="49" fontId="5" fillId="0" borderId="52" xfId="0" applyNumberFormat="1" applyFont="1" applyBorder="1" applyAlignment="1">
      <alignment horizontal="center"/>
    </xf>
    <xf numFmtId="43" fontId="7" fillId="0" borderId="52" xfId="38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7" xfId="38" applyFont="1" applyBorder="1" applyAlignment="1">
      <alignment/>
    </xf>
    <xf numFmtId="43" fontId="5" fillId="0" borderId="18" xfId="38" applyNumberFormat="1" applyFont="1" applyBorder="1" applyAlignment="1">
      <alignment vertical="center"/>
    </xf>
    <xf numFmtId="205" fontId="0" fillId="0" borderId="0" xfId="38" applyNumberFormat="1" applyFont="1" applyAlignment="1">
      <alignment/>
    </xf>
    <xf numFmtId="0" fontId="7" fillId="0" borderId="26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vertical="top"/>
    </xf>
    <xf numFmtId="43" fontId="52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3" fontId="7" fillId="0" borderId="0" xfId="0" applyNumberFormat="1" applyFont="1" applyAlignment="1">
      <alignment/>
    </xf>
    <xf numFmtId="43" fontId="53" fillId="0" borderId="0" xfId="38" applyFont="1" applyAlignment="1">
      <alignment/>
    </xf>
    <xf numFmtId="43" fontId="5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204" fontId="4" fillId="0" borderId="55" xfId="0" applyNumberFormat="1" applyFont="1" applyBorder="1" applyAlignment="1">
      <alignment horizontal="center"/>
    </xf>
    <xf numFmtId="204" fontId="4" fillId="0" borderId="19" xfId="0" applyNumberFormat="1" applyFont="1" applyBorder="1" applyAlignment="1">
      <alignment horizontal="center"/>
    </xf>
    <xf numFmtId="204" fontId="4" fillId="0" borderId="56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1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153</xdr:row>
      <xdr:rowOff>57150</xdr:rowOff>
    </xdr:from>
    <xdr:to>
      <xdr:col>4</xdr:col>
      <xdr:colOff>1809750</xdr:colOff>
      <xdr:row>153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4048125" y="4010025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</xdr:colOff>
      <xdr:row>151</xdr:row>
      <xdr:rowOff>180975</xdr:rowOff>
    </xdr:from>
    <xdr:to>
      <xdr:col>2</xdr:col>
      <xdr:colOff>57150</xdr:colOff>
      <xdr:row>153</xdr:row>
      <xdr:rowOff>38100</xdr:rowOff>
    </xdr:to>
    <xdr:sp>
      <xdr:nvSpPr>
        <xdr:cNvPr id="2" name="วงเล็บปีกกาซ้าย 5"/>
        <xdr:cNvSpPr>
          <a:spLocks/>
        </xdr:cNvSpPr>
      </xdr:nvSpPr>
      <xdr:spPr>
        <a:xfrm>
          <a:off x="1409700" y="39652575"/>
          <a:ext cx="47625" cy="428625"/>
        </a:xfrm>
        <a:prstGeom prst="leftBrace">
          <a:avLst>
            <a:gd name="adj" fmla="val -49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276225</xdr:colOff>
      <xdr:row>151</xdr:row>
      <xdr:rowOff>161925</xdr:rowOff>
    </xdr:from>
    <xdr:to>
      <xdr:col>3</xdr:col>
      <xdr:colOff>323850</xdr:colOff>
      <xdr:row>153</xdr:row>
      <xdr:rowOff>76200</xdr:rowOff>
    </xdr:to>
    <xdr:sp>
      <xdr:nvSpPr>
        <xdr:cNvPr id="3" name="วงเล็บปีกกาขวา 6"/>
        <xdr:cNvSpPr>
          <a:spLocks/>
        </xdr:cNvSpPr>
      </xdr:nvSpPr>
      <xdr:spPr>
        <a:xfrm>
          <a:off x="2676525" y="39633525"/>
          <a:ext cx="47625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1114425</xdr:colOff>
      <xdr:row>153</xdr:row>
      <xdr:rowOff>47625</xdr:rowOff>
    </xdr:from>
    <xdr:to>
      <xdr:col>8</xdr:col>
      <xdr:colOff>1647825</xdr:colOff>
      <xdr:row>153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6057900" y="40690800"/>
          <a:ext cx="5334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view="pageBreakPreview" zoomScale="112" zoomScaleSheetLayoutView="112" zoomScalePageLayoutView="0" workbookViewId="0" topLeftCell="A1">
      <selection activeCell="B140" sqref="B140"/>
    </sheetView>
  </sheetViews>
  <sheetFormatPr defaultColWidth="9.140625" defaultRowHeight="22.5" customHeight="1"/>
  <cols>
    <col min="1" max="1" width="2.7109375" style="42" customWidth="1"/>
    <col min="2" max="2" width="53.57421875" style="42" customWidth="1"/>
    <col min="3" max="3" width="18.00390625" style="42" customWidth="1"/>
    <col min="4" max="4" width="5.00390625" style="42" customWidth="1"/>
    <col min="5" max="5" width="18.421875" style="42" customWidth="1"/>
    <col min="6" max="6" width="9.140625" style="42" customWidth="1"/>
    <col min="7" max="7" width="16.421875" style="48" bestFit="1" customWidth="1"/>
    <col min="8" max="8" width="16.7109375" style="42" bestFit="1" customWidth="1"/>
    <col min="9" max="9" width="16.421875" style="48" bestFit="1" customWidth="1"/>
    <col min="10" max="16384" width="9.140625" style="42" customWidth="1"/>
  </cols>
  <sheetData>
    <row r="1" spans="2:5" ht="22.5" customHeight="1">
      <c r="B1" s="184" t="s">
        <v>260</v>
      </c>
      <c r="C1" s="184"/>
      <c r="D1" s="184"/>
      <c r="E1" s="184"/>
    </row>
    <row r="2" spans="2:5" ht="22.5" customHeight="1">
      <c r="B2" s="184" t="s">
        <v>45</v>
      </c>
      <c r="C2" s="184"/>
      <c r="D2" s="184"/>
      <c r="E2" s="184"/>
    </row>
    <row r="3" spans="2:5" ht="22.5" customHeight="1">
      <c r="B3" s="184" t="s">
        <v>388</v>
      </c>
      <c r="C3" s="184"/>
      <c r="D3" s="184"/>
      <c r="E3" s="184"/>
    </row>
    <row r="4" spans="1:5" ht="22.5" customHeight="1">
      <c r="A4" s="46" t="s">
        <v>46</v>
      </c>
      <c r="C4" s="47" t="s">
        <v>7</v>
      </c>
      <c r="E4" s="47" t="s">
        <v>47</v>
      </c>
    </row>
    <row r="5" spans="2:7" ht="22.5" customHeight="1">
      <c r="B5" s="42" t="s">
        <v>48</v>
      </c>
      <c r="C5" s="48">
        <v>13332677.71</v>
      </c>
      <c r="E5" s="48">
        <f>5797001.9+25972073.73+7232543.54+19836226.87+19741749.6+13940544.86+8246326.69+15543666.16+12925367.63+14944409.74+12019444.19+13332677.71</f>
        <v>169532032.62</v>
      </c>
      <c r="G5" s="48" t="s">
        <v>346</v>
      </c>
    </row>
    <row r="6" spans="2:9" ht="22.5" customHeight="1">
      <c r="B6" s="42" t="s">
        <v>49</v>
      </c>
      <c r="C6" s="48">
        <v>161187.66</v>
      </c>
      <c r="E6" s="48">
        <f>906315.99+1080071.87+2607489.29+1421416.58+3860231.15+1047923.27+1143377.75+995026.28+974353.83+916699.09+989612.69+161187.66</f>
        <v>16103705.45</v>
      </c>
      <c r="G6" s="123" t="s">
        <v>347</v>
      </c>
      <c r="I6" s="123" t="s">
        <v>330</v>
      </c>
    </row>
    <row r="7" spans="2:7" ht="22.5" customHeight="1">
      <c r="B7" s="42" t="s">
        <v>116</v>
      </c>
      <c r="C7" s="48">
        <f>1650+325650</f>
        <v>327300</v>
      </c>
      <c r="E7" s="48">
        <f>315896+128450+1211890+574450+509078+1859920+532210+672550+388502+12204+466568+471400+327300</f>
        <v>7470418</v>
      </c>
      <c r="G7" s="48" t="s">
        <v>352</v>
      </c>
    </row>
    <row r="8" spans="2:9" ht="22.5" customHeight="1">
      <c r="B8" s="42" t="s">
        <v>117</v>
      </c>
      <c r="C8" s="48">
        <v>190800</v>
      </c>
      <c r="E8" s="48">
        <f>72000+4587300+2289600+85260+34800+4213780+63700+2216600+4382300+190800</f>
        <v>18136140</v>
      </c>
      <c r="G8" s="48" t="s">
        <v>352</v>
      </c>
      <c r="I8" s="48">
        <v>0</v>
      </c>
    </row>
    <row r="9" spans="2:5" ht="22.5" customHeight="1">
      <c r="B9" s="42" t="s">
        <v>118</v>
      </c>
      <c r="C9" s="48">
        <v>1000</v>
      </c>
      <c r="E9" s="48">
        <f>18500+9000+3000+5000+97000+1000+2000+24000+1000</f>
        <v>160500</v>
      </c>
    </row>
    <row r="10" spans="2:5" ht="22.5" customHeight="1">
      <c r="B10" s="42" t="s">
        <v>189</v>
      </c>
      <c r="C10" s="48">
        <f>1600+10400</f>
        <v>12000</v>
      </c>
      <c r="E10" s="48">
        <f>32200+6800+6000+12000</f>
        <v>57000</v>
      </c>
    </row>
    <row r="11" spans="2:5" ht="22.5" customHeight="1">
      <c r="B11" s="53" t="s">
        <v>383</v>
      </c>
      <c r="C11" s="48">
        <f>3180+7020</f>
        <v>10200</v>
      </c>
      <c r="E11" s="48">
        <v>10200</v>
      </c>
    </row>
    <row r="12" spans="2:5" ht="22.5" customHeight="1">
      <c r="B12" s="53" t="s">
        <v>384</v>
      </c>
      <c r="C12" s="48">
        <f>6660+8340</f>
        <v>15000</v>
      </c>
      <c r="E12" s="48">
        <v>15000</v>
      </c>
    </row>
    <row r="13" spans="2:5" ht="22.5" customHeight="1">
      <c r="B13" s="53" t="s">
        <v>397</v>
      </c>
      <c r="C13" s="48">
        <v>7200</v>
      </c>
      <c r="E13" s="48">
        <v>7200</v>
      </c>
    </row>
    <row r="14" spans="2:9" ht="22.5" customHeight="1">
      <c r="B14" s="42" t="s">
        <v>89</v>
      </c>
      <c r="C14" s="48">
        <v>62639</v>
      </c>
      <c r="E14" s="48">
        <f>7000+10000+4556+5000+7550+62639</f>
        <v>96745</v>
      </c>
      <c r="I14" s="48" t="s">
        <v>330</v>
      </c>
    </row>
    <row r="15" spans="2:5" ht="22.5" customHeight="1">
      <c r="B15" s="42" t="s">
        <v>142</v>
      </c>
      <c r="C15" s="48">
        <v>0</v>
      </c>
      <c r="E15" s="48">
        <v>0</v>
      </c>
    </row>
    <row r="16" spans="2:5" ht="22.5" customHeight="1">
      <c r="B16" s="42" t="s">
        <v>359</v>
      </c>
      <c r="C16" s="48">
        <v>0</v>
      </c>
      <c r="E16" s="48">
        <v>0</v>
      </c>
    </row>
    <row r="17" spans="2:7" ht="22.5" customHeight="1">
      <c r="B17" s="42" t="s">
        <v>261</v>
      </c>
      <c r="C17" s="48">
        <f>43100+190800</f>
        <v>233900</v>
      </c>
      <c r="E17" s="48">
        <f>6205100+40100+4103600+33100+4001100+1354600+7138900+46000+54400+233900</f>
        <v>23210800</v>
      </c>
      <c r="G17" s="48" t="s">
        <v>371</v>
      </c>
    </row>
    <row r="18" spans="2:7" ht="22.5" customHeight="1">
      <c r="B18" s="42" t="s">
        <v>262</v>
      </c>
      <c r="C18" s="48">
        <f>29600+67200</f>
        <v>96800</v>
      </c>
      <c r="E18" s="48">
        <f>984800+4000+979200+6400+5600+326400+164000+1221600+136000+58400+96800</f>
        <v>3983200</v>
      </c>
      <c r="G18" s="48">
        <v>51200</v>
      </c>
    </row>
    <row r="19" spans="2:7" ht="22.5" customHeight="1">
      <c r="B19" s="138" t="s">
        <v>360</v>
      </c>
      <c r="C19" s="48"/>
      <c r="E19" s="48">
        <v>6030000</v>
      </c>
      <c r="G19" s="48">
        <v>6030000</v>
      </c>
    </row>
    <row r="20" spans="2:5" ht="19.5" customHeight="1">
      <c r="B20" s="53" t="s">
        <v>270</v>
      </c>
      <c r="C20" s="48">
        <v>68710</v>
      </c>
      <c r="E20" s="48">
        <f>112140+74760+263400+182570+68710</f>
        <v>701580</v>
      </c>
    </row>
    <row r="21" spans="2:5" ht="19.5" customHeight="1">
      <c r="B21" s="138" t="s">
        <v>263</v>
      </c>
      <c r="C21" s="48">
        <v>0</v>
      </c>
      <c r="E21" s="48">
        <f>195500+94000+103400+36000</f>
        <v>428900</v>
      </c>
    </row>
    <row r="22" spans="2:5" ht="19.5" customHeight="1">
      <c r="B22" s="138" t="s">
        <v>265</v>
      </c>
      <c r="C22" s="48">
        <v>0</v>
      </c>
      <c r="E22" s="48">
        <f>30000+20000+22000+6000</f>
        <v>78000</v>
      </c>
    </row>
    <row r="23" spans="2:5" ht="19.5" customHeight="1">
      <c r="B23" s="53" t="s">
        <v>264</v>
      </c>
      <c r="C23" s="48">
        <v>0</v>
      </c>
      <c r="E23" s="48">
        <f>11275+5700+6270+3150</f>
        <v>26395</v>
      </c>
    </row>
    <row r="24" spans="2:5" ht="19.5" customHeight="1">
      <c r="B24" s="53" t="s">
        <v>293</v>
      </c>
      <c r="C24" s="48">
        <v>0</v>
      </c>
      <c r="E24" s="48">
        <f>11512+2725</f>
        <v>14237</v>
      </c>
    </row>
    <row r="25" spans="2:5" ht="19.5" customHeight="1">
      <c r="B25" s="138" t="s">
        <v>296</v>
      </c>
      <c r="C25" s="48">
        <v>0</v>
      </c>
      <c r="E25" s="48">
        <f>230238.72+54500</f>
        <v>284738.72</v>
      </c>
    </row>
    <row r="26" spans="2:5" ht="19.5" customHeight="1">
      <c r="B26" s="42" t="s">
        <v>329</v>
      </c>
      <c r="C26" s="48">
        <v>0</v>
      </c>
      <c r="E26" s="48">
        <f>8400</f>
        <v>8400</v>
      </c>
    </row>
    <row r="27" spans="2:5" ht="19.5" customHeight="1">
      <c r="B27" s="53" t="s">
        <v>164</v>
      </c>
      <c r="C27" s="48">
        <v>0</v>
      </c>
      <c r="E27" s="48">
        <v>3000</v>
      </c>
    </row>
    <row r="28" spans="2:5" ht="19.5" customHeight="1">
      <c r="B28" s="53" t="s">
        <v>165</v>
      </c>
      <c r="C28" s="48">
        <v>0</v>
      </c>
      <c r="E28" s="48">
        <v>66310</v>
      </c>
    </row>
    <row r="29" spans="2:5" ht="19.5" customHeight="1">
      <c r="B29" s="53" t="s">
        <v>211</v>
      </c>
      <c r="C29" s="48">
        <v>0</v>
      </c>
      <c r="E29" s="48">
        <v>5938</v>
      </c>
    </row>
    <row r="30" spans="2:5" ht="19.5" customHeight="1">
      <c r="B30" s="53" t="s">
        <v>266</v>
      </c>
      <c r="C30" s="48"/>
      <c r="E30" s="48">
        <f>94500+135000</f>
        <v>229500</v>
      </c>
    </row>
    <row r="31" spans="2:5" ht="19.5" customHeight="1">
      <c r="B31" s="53" t="s">
        <v>294</v>
      </c>
      <c r="C31" s="48"/>
      <c r="E31" s="48">
        <v>49061</v>
      </c>
    </row>
    <row r="32" spans="2:5" ht="19.5" customHeight="1">
      <c r="B32" s="53" t="s">
        <v>167</v>
      </c>
      <c r="C32" s="48"/>
      <c r="E32" s="48">
        <v>14085</v>
      </c>
    </row>
    <row r="33" spans="2:5" ht="19.5" customHeight="1">
      <c r="B33" s="53" t="s">
        <v>213</v>
      </c>
      <c r="C33" s="48"/>
      <c r="E33" s="48">
        <v>3422</v>
      </c>
    </row>
    <row r="34" spans="2:5" ht="19.5" customHeight="1">
      <c r="B34" s="53" t="s">
        <v>166</v>
      </c>
      <c r="C34" s="48"/>
      <c r="E34" s="48">
        <v>51361</v>
      </c>
    </row>
    <row r="35" spans="2:5" ht="19.5" customHeight="1">
      <c r="B35" s="53" t="s">
        <v>191</v>
      </c>
      <c r="C35" s="48"/>
      <c r="E35" s="48">
        <v>18000</v>
      </c>
    </row>
    <row r="36" spans="2:5" ht="19.5" customHeight="1">
      <c r="B36" s="53" t="s">
        <v>214</v>
      </c>
      <c r="C36" s="48"/>
      <c r="E36" s="48">
        <v>1427</v>
      </c>
    </row>
    <row r="37" spans="2:5" ht="19.5" customHeight="1">
      <c r="B37" s="53" t="s">
        <v>190</v>
      </c>
      <c r="C37" s="48"/>
      <c r="E37" s="48">
        <v>37505</v>
      </c>
    </row>
    <row r="38" spans="2:5" ht="19.5" customHeight="1">
      <c r="B38" s="53" t="s">
        <v>212</v>
      </c>
      <c r="C38" s="48"/>
      <c r="E38" s="48">
        <v>36132</v>
      </c>
    </row>
    <row r="39" spans="2:5" ht="19.5" customHeight="1">
      <c r="B39" s="53" t="s">
        <v>199</v>
      </c>
      <c r="C39" s="48"/>
      <c r="E39" s="48">
        <v>7070</v>
      </c>
    </row>
    <row r="40" spans="1:5" ht="19.5" customHeight="1">
      <c r="A40" s="46" t="s">
        <v>46</v>
      </c>
      <c r="C40" s="47"/>
      <c r="E40" s="47" t="s">
        <v>47</v>
      </c>
    </row>
    <row r="41" spans="2:5" ht="19.5" customHeight="1">
      <c r="B41" s="53" t="s">
        <v>312</v>
      </c>
      <c r="C41" s="48"/>
      <c r="E41" s="48">
        <v>8580</v>
      </c>
    </row>
    <row r="42" spans="2:5" ht="19.5" customHeight="1">
      <c r="B42" s="53" t="s">
        <v>267</v>
      </c>
      <c r="C42" s="48">
        <v>4000</v>
      </c>
      <c r="E42" s="48">
        <f>12000+12000+12000+4000+4000</f>
        <v>44000</v>
      </c>
    </row>
    <row r="43" spans="2:5" ht="19.5" customHeight="1">
      <c r="B43" s="53" t="s">
        <v>295</v>
      </c>
      <c r="C43" s="48"/>
      <c r="E43" s="48">
        <v>10500</v>
      </c>
    </row>
    <row r="44" spans="2:5" ht="19.5" customHeight="1" hidden="1">
      <c r="B44" s="53" t="s">
        <v>303</v>
      </c>
      <c r="C44" s="48"/>
      <c r="E44" s="48"/>
    </row>
    <row r="45" spans="2:5" ht="19.5" customHeight="1">
      <c r="B45" s="53" t="s">
        <v>317</v>
      </c>
      <c r="C45" s="48"/>
      <c r="E45" s="48">
        <v>34200</v>
      </c>
    </row>
    <row r="46" spans="2:5" ht="19.5" customHeight="1">
      <c r="B46" s="53" t="s">
        <v>318</v>
      </c>
      <c r="C46" s="48"/>
      <c r="E46" s="48">
        <v>1710</v>
      </c>
    </row>
    <row r="47" spans="2:5" ht="22.5" customHeight="1" hidden="1">
      <c r="B47" s="42" t="s">
        <v>145</v>
      </c>
      <c r="C47" s="48"/>
      <c r="E47" s="48"/>
    </row>
    <row r="48" spans="2:5" ht="22.5" customHeight="1">
      <c r="B48" s="42" t="s">
        <v>78</v>
      </c>
      <c r="C48" s="48">
        <f>6850+82889.44+103835.88+4539611.21+1772146.48</f>
        <v>6505333.01</v>
      </c>
      <c r="E48" s="48">
        <f>13888+75000+67020+220+121600+7600+6505338.01</f>
        <v>6790666.01</v>
      </c>
    </row>
    <row r="49" spans="2:5" ht="22.5" customHeight="1" hidden="1">
      <c r="B49" s="42" t="s">
        <v>158</v>
      </c>
      <c r="C49" s="48"/>
      <c r="E49" s="48"/>
    </row>
    <row r="50" spans="2:5" ht="22.5" customHeight="1" hidden="1">
      <c r="B50" s="42" t="s">
        <v>96</v>
      </c>
      <c r="C50" s="48"/>
      <c r="E50" s="48"/>
    </row>
    <row r="51" spans="2:5" ht="22.5" customHeight="1" hidden="1">
      <c r="B51" s="42" t="s">
        <v>21</v>
      </c>
      <c r="C51" s="48"/>
      <c r="E51" s="48"/>
    </row>
    <row r="52" spans="2:5" ht="22.5" customHeight="1" hidden="1">
      <c r="B52" s="42" t="s">
        <v>31</v>
      </c>
      <c r="C52" s="48"/>
      <c r="E52" s="48"/>
    </row>
    <row r="53" spans="2:5" ht="22.5" customHeight="1">
      <c r="B53" s="42" t="s">
        <v>385</v>
      </c>
      <c r="C53" s="48">
        <v>1344</v>
      </c>
      <c r="E53" s="48">
        <v>1344</v>
      </c>
    </row>
    <row r="54" spans="2:5" ht="22.5" customHeight="1">
      <c r="B54" s="42" t="s">
        <v>396</v>
      </c>
      <c r="C54" s="48">
        <v>78200</v>
      </c>
      <c r="E54" s="48">
        <v>78200</v>
      </c>
    </row>
    <row r="55" spans="2:5" ht="22.5" customHeight="1">
      <c r="B55" s="42" t="s">
        <v>21</v>
      </c>
      <c r="C55" s="48">
        <v>4946800</v>
      </c>
      <c r="E55" s="48">
        <v>4946800</v>
      </c>
    </row>
    <row r="56" spans="2:8" ht="22.5" customHeight="1">
      <c r="B56" s="42" t="s">
        <v>128</v>
      </c>
      <c r="C56" s="48">
        <v>500</v>
      </c>
      <c r="E56" s="48">
        <f>500+500+1000+500+500+500+1000+500+1000+500</f>
        <v>6500</v>
      </c>
      <c r="G56" s="176" t="s">
        <v>369</v>
      </c>
      <c r="H56" s="48">
        <v>18338664.49</v>
      </c>
    </row>
    <row r="57" spans="2:8" ht="22.5" customHeight="1">
      <c r="B57" s="42" t="s">
        <v>324</v>
      </c>
      <c r="C57" s="48"/>
      <c r="E57" s="48">
        <f>1450+2320+396.8</f>
        <v>4166.8</v>
      </c>
      <c r="G57" s="176" t="s">
        <v>370</v>
      </c>
      <c r="H57" s="48">
        <v>461509</v>
      </c>
    </row>
    <row r="58" spans="2:8" ht="22.5" customHeight="1">
      <c r="B58" s="42" t="s">
        <v>344</v>
      </c>
      <c r="C58" s="48"/>
      <c r="E58" s="48">
        <v>42952.27</v>
      </c>
      <c r="G58" s="176" t="s">
        <v>373</v>
      </c>
      <c r="H58" s="48">
        <v>879265.19</v>
      </c>
    </row>
    <row r="59" spans="2:5" ht="22.5" customHeight="1" hidden="1">
      <c r="B59" s="42" t="s">
        <v>127</v>
      </c>
      <c r="C59" s="48"/>
      <c r="E59" s="48"/>
    </row>
    <row r="60" spans="2:5" ht="22.5" customHeight="1" hidden="1">
      <c r="B60" s="42" t="s">
        <v>121</v>
      </c>
      <c r="C60" s="48"/>
      <c r="E60" s="48"/>
    </row>
    <row r="61" spans="2:8" ht="22.5" customHeight="1">
      <c r="B61" s="42" t="s">
        <v>122</v>
      </c>
      <c r="C61" s="48"/>
      <c r="E61" s="48">
        <f>84500+2433.18+8135</f>
        <v>95068.18</v>
      </c>
      <c r="H61" s="175">
        <f>SUM(H56:H60)</f>
        <v>19679438.68</v>
      </c>
    </row>
    <row r="62" spans="2:5" ht="22.5" customHeight="1">
      <c r="B62" s="42" t="s">
        <v>124</v>
      </c>
      <c r="C62" s="48">
        <v>130371.44</v>
      </c>
      <c r="E62" s="48">
        <f>3781+143647.55+135+130371.44</f>
        <v>277934.99</v>
      </c>
    </row>
    <row r="63" spans="2:5" ht="22.5" customHeight="1" hidden="1">
      <c r="B63" s="42" t="s">
        <v>160</v>
      </c>
      <c r="C63" s="48"/>
      <c r="E63" s="48"/>
    </row>
    <row r="64" spans="2:5" ht="22.5" customHeight="1" hidden="1">
      <c r="B64" s="42" t="s">
        <v>119</v>
      </c>
      <c r="C64" s="48"/>
      <c r="E64" s="48"/>
    </row>
    <row r="65" spans="2:9" ht="22.5" customHeight="1">
      <c r="B65" s="42" t="s">
        <v>351</v>
      </c>
      <c r="C65" s="48">
        <v>0</v>
      </c>
      <c r="E65" s="48">
        <v>10525.17</v>
      </c>
      <c r="G65" s="48" t="s">
        <v>330</v>
      </c>
      <c r="I65" s="48">
        <f>+H61-C67</f>
        <v>-6514024.140000004</v>
      </c>
    </row>
    <row r="66" spans="2:5" ht="22.5" customHeight="1">
      <c r="B66" s="42" t="s">
        <v>160</v>
      </c>
      <c r="C66" s="48">
        <v>7500</v>
      </c>
      <c r="E66" s="48">
        <f>7500+7500</f>
        <v>15000</v>
      </c>
    </row>
    <row r="67" spans="2:7" ht="22.5" customHeight="1" thickBot="1">
      <c r="B67" s="49" t="s">
        <v>32</v>
      </c>
      <c r="C67" s="50">
        <f>SUM(C5:C66)</f>
        <v>26193462.820000004</v>
      </c>
      <c r="D67" s="51"/>
      <c r="E67" s="50">
        <f>SUM(E5:E66)</f>
        <v>259246150.21</v>
      </c>
      <c r="G67" s="48" t="s">
        <v>372</v>
      </c>
    </row>
    <row r="68" spans="2:5" ht="22.5" customHeight="1" thickTop="1">
      <c r="B68" s="49"/>
      <c r="C68" s="141"/>
      <c r="D68" s="51"/>
      <c r="E68" s="141"/>
    </row>
    <row r="69" spans="1:5" ht="22.5" customHeight="1">
      <c r="A69" s="46" t="s">
        <v>13</v>
      </c>
      <c r="B69" s="51"/>
      <c r="C69" s="47" t="s">
        <v>7</v>
      </c>
      <c r="E69" s="47" t="s">
        <v>47</v>
      </c>
    </row>
    <row r="70" spans="2:7" ht="22.5" customHeight="1">
      <c r="B70" s="42" t="s">
        <v>90</v>
      </c>
      <c r="C70" s="48">
        <f>11728525.56+5272450+78200</f>
        <v>17079175.560000002</v>
      </c>
      <c r="E70" s="48">
        <f>5509031.84+8334462.72+13635086.05+12535870.02+22602947.4+20988970.89+11083588.35+13263071.03+13002175.88+11044803.98+17713826.12+17079175.56</f>
        <v>166793009.83999997</v>
      </c>
      <c r="G70" s="48" t="s">
        <v>356</v>
      </c>
    </row>
    <row r="71" spans="2:5" ht="22.5" customHeight="1" hidden="1">
      <c r="B71" s="42" t="s">
        <v>133</v>
      </c>
      <c r="C71" s="48"/>
      <c r="E71" s="48"/>
    </row>
    <row r="72" spans="2:5" ht="22.5" customHeight="1" hidden="1">
      <c r="B72" s="42" t="s">
        <v>225</v>
      </c>
      <c r="C72" s="48"/>
      <c r="E72" s="48"/>
    </row>
    <row r="73" spans="2:5" ht="22.5" customHeight="1" hidden="1">
      <c r="B73" s="42" t="s">
        <v>146</v>
      </c>
      <c r="C73" s="48"/>
      <c r="E73" s="48"/>
    </row>
    <row r="74" spans="2:7" ht="22.5" customHeight="1">
      <c r="B74" s="42" t="s">
        <v>91</v>
      </c>
      <c r="C74" s="48">
        <v>685352.19</v>
      </c>
      <c r="E74" s="48">
        <f>1020400.54+850666.27+1092729.53+1112291.14+2637327+2510247.5+1787354.41+1476007.17+1966795.39+970436.16+959192.28+685352.19</f>
        <v>17068799.580000002</v>
      </c>
      <c r="G74" s="48" t="s">
        <v>349</v>
      </c>
    </row>
    <row r="75" spans="2:7" ht="22.5" customHeight="1">
      <c r="B75" s="119" t="s">
        <v>92</v>
      </c>
      <c r="C75" s="48">
        <v>605956.66</v>
      </c>
      <c r="E75" s="48">
        <f>480008.39+1932000+1477000+499000+553192.05+1843690.41+605956.66</f>
        <v>7390847.510000001</v>
      </c>
      <c r="G75" s="48" t="s">
        <v>348</v>
      </c>
    </row>
    <row r="76" spans="2:5" ht="22.5" customHeight="1">
      <c r="B76" s="119" t="s">
        <v>368</v>
      </c>
      <c r="C76" s="48">
        <v>4797000.7</v>
      </c>
      <c r="E76" s="48">
        <f>1270817.61+4797000.7</f>
        <v>6067818.3100000005</v>
      </c>
    </row>
    <row r="77" spans="2:7" ht="22.5" customHeight="1">
      <c r="B77" s="42" t="s">
        <v>93</v>
      </c>
      <c r="C77" s="48">
        <v>327950</v>
      </c>
      <c r="E77" s="48">
        <f>108146+784100+1043610+481708+1760830+399850+688330+747922+434022+253700+295250+327950</f>
        <v>7325418</v>
      </c>
      <c r="G77" s="48" t="s">
        <v>348</v>
      </c>
    </row>
    <row r="78" spans="2:7" ht="22.5" customHeight="1">
      <c r="B78" s="42" t="s">
        <v>94</v>
      </c>
      <c r="C78" s="48">
        <v>190800</v>
      </c>
      <c r="E78" s="48">
        <f>2336900+2322400+2374860+1997880+2250700+2229500+2219600+2213500+190800</f>
        <v>18136140</v>
      </c>
      <c r="G78" s="48" t="s">
        <v>348</v>
      </c>
    </row>
    <row r="79" spans="2:7" ht="22.5" customHeight="1">
      <c r="B79" s="42" t="s">
        <v>186</v>
      </c>
      <c r="C79" s="48">
        <f>6000</f>
        <v>6000</v>
      </c>
      <c r="E79" s="48">
        <f>32200+6800+6000+6000+6000</f>
        <v>57000</v>
      </c>
      <c r="G79" s="48" t="s">
        <v>348</v>
      </c>
    </row>
    <row r="80" spans="2:5" ht="22.5" customHeight="1" hidden="1">
      <c r="B80" s="42" t="s">
        <v>135</v>
      </c>
      <c r="C80" s="48"/>
      <c r="E80" s="48"/>
    </row>
    <row r="81" spans="2:5" ht="22.5" customHeight="1" hidden="1">
      <c r="B81" s="42" t="s">
        <v>136</v>
      </c>
      <c r="C81" s="48"/>
      <c r="E81" s="48"/>
    </row>
    <row r="82" spans="2:5" ht="22.5" customHeight="1" hidden="1">
      <c r="B82" s="42" t="s">
        <v>125</v>
      </c>
      <c r="C82" s="48"/>
      <c r="E82" s="48"/>
    </row>
    <row r="83" spans="2:5" ht="22.5" customHeight="1">
      <c r="B83" s="179" t="s">
        <v>377</v>
      </c>
      <c r="C83" s="48">
        <v>0</v>
      </c>
      <c r="E83" s="48">
        <v>15000</v>
      </c>
    </row>
    <row r="84" spans="2:5" ht="22.5" customHeight="1">
      <c r="B84" s="179" t="s">
        <v>378</v>
      </c>
      <c r="C84" s="48">
        <v>0</v>
      </c>
      <c r="E84" s="48">
        <v>10200</v>
      </c>
    </row>
    <row r="85" spans="2:5" ht="22.5" customHeight="1">
      <c r="B85" s="179" t="s">
        <v>386</v>
      </c>
      <c r="C85" s="48">
        <v>7200</v>
      </c>
      <c r="E85" s="48">
        <v>7200</v>
      </c>
    </row>
    <row r="86" spans="2:7" ht="22.5" customHeight="1">
      <c r="B86" s="42" t="s">
        <v>111</v>
      </c>
      <c r="C86" s="48">
        <v>0</v>
      </c>
      <c r="E86" s="48">
        <v>628338.81</v>
      </c>
      <c r="G86" s="48" t="s">
        <v>348</v>
      </c>
    </row>
    <row r="87" spans="2:7" ht="22.5" customHeight="1">
      <c r="B87" s="42" t="s">
        <v>96</v>
      </c>
      <c r="C87" s="48">
        <v>0</v>
      </c>
      <c r="E87" s="48">
        <v>223200</v>
      </c>
      <c r="G87" s="48" t="s">
        <v>348</v>
      </c>
    </row>
    <row r="88" spans="2:7" ht="22.5" customHeight="1">
      <c r="B88" s="42" t="s">
        <v>21</v>
      </c>
      <c r="C88" s="48">
        <v>103835.88</v>
      </c>
      <c r="E88" s="48">
        <f>1935000+219500+1663750.8+3780413.32+103835.88</f>
        <v>7702499.999999999</v>
      </c>
      <c r="G88" s="48" t="s">
        <v>348</v>
      </c>
    </row>
    <row r="89" spans="2:7" ht="22.5" customHeight="1">
      <c r="B89" s="42" t="s">
        <v>31</v>
      </c>
      <c r="C89" s="48">
        <v>82889.44</v>
      </c>
      <c r="E89" s="48">
        <f>2917110.56+82889.44</f>
        <v>3000000</v>
      </c>
      <c r="G89" s="48" t="s">
        <v>348</v>
      </c>
    </row>
    <row r="90" spans="2:5" ht="22.5" customHeight="1" hidden="1">
      <c r="B90" s="42" t="s">
        <v>95</v>
      </c>
      <c r="C90" s="48"/>
      <c r="E90" s="48"/>
    </row>
    <row r="91" spans="2:7" ht="22.5" customHeight="1">
      <c r="B91" s="42" t="s">
        <v>297</v>
      </c>
      <c r="C91" s="48"/>
      <c r="E91" s="48">
        <f>125363+8400</f>
        <v>133763</v>
      </c>
      <c r="G91" s="48" t="s">
        <v>348</v>
      </c>
    </row>
    <row r="92" spans="1:5" ht="22.5" customHeight="1">
      <c r="A92" s="46" t="s">
        <v>13</v>
      </c>
      <c r="B92" s="51"/>
      <c r="C92" s="47" t="s">
        <v>7</v>
      </c>
      <c r="E92" s="47" t="s">
        <v>47</v>
      </c>
    </row>
    <row r="93" spans="2:7" ht="22.5" customHeight="1">
      <c r="B93" s="42" t="s">
        <v>298</v>
      </c>
      <c r="C93" s="48"/>
      <c r="E93" s="48">
        <v>43000</v>
      </c>
      <c r="G93" s="48" t="s">
        <v>348</v>
      </c>
    </row>
    <row r="94" spans="2:7" ht="22.5" customHeight="1">
      <c r="B94" s="42" t="s">
        <v>168</v>
      </c>
      <c r="C94" s="48"/>
      <c r="E94" s="48">
        <v>1553000</v>
      </c>
      <c r="G94" s="48" t="s">
        <v>348</v>
      </c>
    </row>
    <row r="95" spans="2:7" ht="22.5" customHeight="1">
      <c r="B95" s="42" t="s">
        <v>268</v>
      </c>
      <c r="C95" s="48">
        <f>1729600+190800</f>
        <v>1920400</v>
      </c>
      <c r="E95" s="48">
        <f>3937800+1994800+3926400+5500+3815300+2100+1886200+3780100+1913600+1920400</f>
        <v>23182200</v>
      </c>
      <c r="G95" s="48" t="s">
        <v>353</v>
      </c>
    </row>
    <row r="96" spans="2:7" ht="22.5" customHeight="1">
      <c r="B96" s="42" t="s">
        <v>269</v>
      </c>
      <c r="C96" s="48">
        <v>409600</v>
      </c>
      <c r="E96" s="48">
        <f>647200+324000+638400+319200+304800+3200+306400+608800+308000+409600</f>
        <v>3869600</v>
      </c>
      <c r="G96" s="48" t="s">
        <v>348</v>
      </c>
    </row>
    <row r="97" spans="2:7" ht="22.5" customHeight="1">
      <c r="B97" s="138" t="s">
        <v>271</v>
      </c>
      <c r="C97" s="48">
        <v>62580</v>
      </c>
      <c r="E97" s="48">
        <f>74760+37380+74760+108550+68710+68710+68710+68710+62580</f>
        <v>632870</v>
      </c>
      <c r="G97" s="48" t="s">
        <v>348</v>
      </c>
    </row>
    <row r="98" spans="2:7" ht="22.5" customHeight="1">
      <c r="B98" s="138" t="s">
        <v>272</v>
      </c>
      <c r="C98" s="48">
        <v>34330</v>
      </c>
      <c r="E98" s="48">
        <f>75200+37600+54500+75200+37600+9400+9400+9400+9400+27593.54+34330</f>
        <v>379623.54</v>
      </c>
      <c r="G98" s="48" t="s">
        <v>348</v>
      </c>
    </row>
    <row r="99" spans="2:7" ht="22.5" customHeight="1">
      <c r="B99" s="138" t="s">
        <v>274</v>
      </c>
      <c r="C99" s="48">
        <v>6000</v>
      </c>
      <c r="E99" s="48">
        <f>16000+8000+16000+8000+2000+2000+2000+2000+5870.96+6000</f>
        <v>67870.95999999999</v>
      </c>
      <c r="G99" s="48" t="s">
        <v>348</v>
      </c>
    </row>
    <row r="100" spans="2:7" ht="21.75" customHeight="1">
      <c r="B100" s="139" t="s">
        <v>273</v>
      </c>
      <c r="C100" s="48">
        <v>3384</v>
      </c>
      <c r="E100" s="48">
        <f>4560+2280+2725+2280+2280+2280+570+570+570+570+3384</f>
        <v>22069</v>
      </c>
      <c r="G100" s="48" t="s">
        <v>348</v>
      </c>
    </row>
    <row r="101" spans="2:7" ht="21.75" customHeight="1">
      <c r="B101" s="139" t="s">
        <v>302</v>
      </c>
      <c r="C101" s="48"/>
      <c r="E101" s="48">
        <v>23024</v>
      </c>
      <c r="G101" s="48" t="s">
        <v>348</v>
      </c>
    </row>
    <row r="102" spans="2:7" ht="21.75" customHeight="1">
      <c r="B102" s="138" t="s">
        <v>300</v>
      </c>
      <c r="C102" s="48"/>
      <c r="E102" s="48">
        <v>460477.44</v>
      </c>
      <c r="G102" s="48" t="s">
        <v>348</v>
      </c>
    </row>
    <row r="103" spans="2:7" ht="21.75" customHeight="1">
      <c r="B103" s="53" t="s">
        <v>325</v>
      </c>
      <c r="C103" s="48"/>
      <c r="E103" s="48">
        <v>34200</v>
      </c>
      <c r="G103" s="48" t="s">
        <v>348</v>
      </c>
    </row>
    <row r="104" spans="2:7" ht="21.75" customHeight="1">
      <c r="B104" s="53" t="s">
        <v>326</v>
      </c>
      <c r="C104" s="48"/>
      <c r="E104" s="48">
        <v>1710</v>
      </c>
      <c r="G104" s="48" t="s">
        <v>348</v>
      </c>
    </row>
    <row r="105" spans="2:5" ht="21.75" customHeight="1">
      <c r="B105" s="53" t="s">
        <v>200</v>
      </c>
      <c r="C105" s="48"/>
      <c r="E105" s="48">
        <v>6000</v>
      </c>
    </row>
    <row r="106" spans="2:5" ht="21.75" customHeight="1">
      <c r="B106" s="53" t="s">
        <v>201</v>
      </c>
      <c r="C106" s="48"/>
      <c r="E106" s="48">
        <v>132620</v>
      </c>
    </row>
    <row r="107" spans="2:5" ht="21.75" customHeight="1">
      <c r="B107" s="53" t="s">
        <v>223</v>
      </c>
      <c r="C107" s="48"/>
      <c r="E107" s="48">
        <v>11876</v>
      </c>
    </row>
    <row r="108" spans="2:5" ht="21.75" customHeight="1">
      <c r="B108" s="53" t="s">
        <v>202</v>
      </c>
      <c r="C108" s="48"/>
      <c r="E108" s="48">
        <v>98122</v>
      </c>
    </row>
    <row r="109" spans="2:5" ht="21.75" customHeight="1">
      <c r="B109" s="53" t="s">
        <v>219</v>
      </c>
      <c r="C109" s="48"/>
      <c r="E109" s="48">
        <v>6844</v>
      </c>
    </row>
    <row r="110" spans="2:5" ht="21.75" customHeight="1">
      <c r="B110" s="53" t="s">
        <v>203</v>
      </c>
      <c r="C110" s="48"/>
      <c r="E110" s="48">
        <v>28170</v>
      </c>
    </row>
    <row r="111" spans="2:5" ht="21.75" customHeight="1">
      <c r="B111" s="53" t="s">
        <v>204</v>
      </c>
      <c r="C111" s="48"/>
      <c r="E111" s="48">
        <v>102722</v>
      </c>
    </row>
    <row r="112" spans="2:5" ht="21.75" customHeight="1">
      <c r="B112" s="53" t="s">
        <v>220</v>
      </c>
      <c r="C112" s="48"/>
      <c r="E112" s="48">
        <v>2854</v>
      </c>
    </row>
    <row r="113" spans="2:5" ht="21.75" customHeight="1">
      <c r="B113" s="53" t="s">
        <v>205</v>
      </c>
      <c r="C113" s="48"/>
      <c r="E113" s="48">
        <v>36000</v>
      </c>
    </row>
    <row r="114" spans="2:5" ht="22.5" customHeight="1">
      <c r="B114" s="53" t="s">
        <v>206</v>
      </c>
      <c r="C114" s="48"/>
      <c r="E114" s="48">
        <v>75010</v>
      </c>
    </row>
    <row r="115" spans="2:5" ht="22.5" customHeight="1">
      <c r="B115" s="53" t="s">
        <v>299</v>
      </c>
      <c r="C115" s="48"/>
      <c r="E115" s="48">
        <v>72264</v>
      </c>
    </row>
    <row r="116" spans="2:5" ht="22.5" customHeight="1" hidden="1">
      <c r="B116" s="53" t="s">
        <v>207</v>
      </c>
      <c r="C116" s="48"/>
      <c r="E116" s="48"/>
    </row>
    <row r="117" spans="2:5" ht="22.5" customHeight="1" hidden="1">
      <c r="B117" s="53" t="s">
        <v>143</v>
      </c>
      <c r="C117" s="48"/>
      <c r="E117" s="48"/>
    </row>
    <row r="118" spans="2:5" ht="22.5" customHeight="1" hidden="1">
      <c r="B118" s="53" t="s">
        <v>144</v>
      </c>
      <c r="C118" s="48"/>
      <c r="E118" s="48"/>
    </row>
    <row r="119" spans="2:5" ht="22.5" customHeight="1" hidden="1">
      <c r="B119" s="53" t="s">
        <v>149</v>
      </c>
      <c r="C119" s="48"/>
      <c r="E119" s="48"/>
    </row>
    <row r="120" spans="1:5" ht="22.5" customHeight="1" hidden="1">
      <c r="A120" s="46" t="s">
        <v>13</v>
      </c>
      <c r="B120" s="51"/>
      <c r="C120" s="47" t="s">
        <v>7</v>
      </c>
      <c r="E120" s="47" t="s">
        <v>47</v>
      </c>
    </row>
    <row r="121" spans="2:5" ht="22.5" customHeight="1" hidden="1">
      <c r="B121" s="53" t="s">
        <v>224</v>
      </c>
      <c r="C121" s="48"/>
      <c r="E121" s="48"/>
    </row>
    <row r="122" spans="2:5" ht="22.5" customHeight="1" hidden="1">
      <c r="B122" s="53" t="s">
        <v>150</v>
      </c>
      <c r="C122" s="48"/>
      <c r="E122" s="48"/>
    </row>
    <row r="123" spans="2:5" ht="22.5" customHeight="1" hidden="1">
      <c r="B123" s="53" t="s">
        <v>151</v>
      </c>
      <c r="C123" s="48"/>
      <c r="E123" s="48"/>
    </row>
    <row r="124" spans="2:5" ht="22.5" customHeight="1" hidden="1">
      <c r="B124" s="53" t="s">
        <v>152</v>
      </c>
      <c r="C124" s="48"/>
      <c r="E124" s="48"/>
    </row>
    <row r="125" spans="2:5" ht="22.5" customHeight="1" hidden="1">
      <c r="B125" s="53" t="s">
        <v>153</v>
      </c>
      <c r="C125" s="48"/>
      <c r="E125" s="48"/>
    </row>
    <row r="126" spans="2:5" ht="22.5" customHeight="1">
      <c r="B126" s="53" t="s">
        <v>319</v>
      </c>
      <c r="C126" s="48"/>
      <c r="E126" s="48">
        <v>10500</v>
      </c>
    </row>
    <row r="127" spans="2:5" ht="22.5" customHeight="1">
      <c r="B127" s="53" t="s">
        <v>210</v>
      </c>
      <c r="C127" s="48"/>
      <c r="E127" s="48">
        <v>21000</v>
      </c>
    </row>
    <row r="128" spans="2:5" ht="24" customHeight="1">
      <c r="B128" s="53" t="s">
        <v>301</v>
      </c>
      <c r="C128" s="48"/>
      <c r="E128" s="48">
        <v>14140</v>
      </c>
    </row>
    <row r="129" spans="2:5" ht="24" customHeight="1">
      <c r="B129" s="180" t="s">
        <v>380</v>
      </c>
      <c r="C129" s="48"/>
      <c r="E129" s="48">
        <v>5800</v>
      </c>
    </row>
    <row r="130" spans="2:5" ht="24" customHeight="1">
      <c r="B130" s="53" t="s">
        <v>366</v>
      </c>
      <c r="C130" s="48">
        <v>103752</v>
      </c>
      <c r="E130" s="48">
        <f>93108+103752</f>
        <v>196860</v>
      </c>
    </row>
    <row r="131" spans="2:5" ht="24" customHeight="1">
      <c r="B131" s="53" t="s">
        <v>367</v>
      </c>
      <c r="C131" s="48"/>
      <c r="E131" s="48">
        <v>6030000</v>
      </c>
    </row>
    <row r="132" spans="2:5" ht="24" customHeight="1">
      <c r="B132" s="53" t="s">
        <v>135</v>
      </c>
      <c r="C132" s="48">
        <v>14898</v>
      </c>
      <c r="E132" s="48">
        <v>14898</v>
      </c>
    </row>
    <row r="133" spans="2:5" ht="22.5" customHeight="1">
      <c r="B133" s="42" t="s">
        <v>120</v>
      </c>
      <c r="C133" s="48"/>
      <c r="E133" s="48"/>
    </row>
    <row r="134" spans="2:5" ht="22.5" customHeight="1">
      <c r="B134" s="42" t="s">
        <v>387</v>
      </c>
      <c r="C134" s="48">
        <v>0</v>
      </c>
      <c r="E134" s="48">
        <v>0</v>
      </c>
    </row>
    <row r="135" spans="2:5" ht="22.5" customHeight="1">
      <c r="B135" s="42" t="s">
        <v>401</v>
      </c>
      <c r="C135" s="48">
        <v>4539616.21</v>
      </c>
      <c r="E135" s="48">
        <v>4539616.21</v>
      </c>
    </row>
    <row r="136" spans="2:5" ht="22.5" customHeight="1">
      <c r="B136" s="42" t="s">
        <v>402</v>
      </c>
      <c r="C136" s="48">
        <v>1772146.48</v>
      </c>
      <c r="E136" s="48">
        <v>1772146.48</v>
      </c>
    </row>
    <row r="137" spans="2:8" ht="22.5" customHeight="1" thickBot="1">
      <c r="B137" s="49" t="s">
        <v>32</v>
      </c>
      <c r="C137" s="50">
        <f>SUM(C70:C136)</f>
        <v>32752867.120000005</v>
      </c>
      <c r="D137" s="51"/>
      <c r="E137" s="50">
        <f>SUM(E70:E136)</f>
        <v>278006322.68</v>
      </c>
      <c r="G137" s="48">
        <v>0</v>
      </c>
      <c r="H137" s="48">
        <v>278032999.18</v>
      </c>
    </row>
    <row r="138" spans="2:7" ht="22.5" customHeight="1" thickBot="1" thickTop="1">
      <c r="B138" s="51" t="s">
        <v>51</v>
      </c>
      <c r="C138" s="52">
        <f>C67-C137</f>
        <v>-6559404.300000001</v>
      </c>
      <c r="D138" s="51"/>
      <c r="E138" s="52">
        <f>E67-E137</f>
        <v>-18760172.47</v>
      </c>
      <c r="G138" s="48">
        <f>+E137-Sheet1!A145</f>
        <v>0</v>
      </c>
    </row>
    <row r="139" ht="22.5" customHeight="1" thickTop="1"/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scale="98" r:id="rId1"/>
  <rowBreaks count="2" manualBreakCount="2">
    <brk id="91" max="12" man="1"/>
    <brk id="1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view="pageBreakPreview" zoomScale="118" zoomScaleSheetLayoutView="118" zoomScalePageLayoutView="0" workbookViewId="0" topLeftCell="A13">
      <selection activeCell="B20" sqref="B2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7">IF(A1-INT(A1)&lt;&gt;0,RIGHT(C1,2),)</f>
        <v>40</v>
      </c>
      <c r="G1" s="1">
        <v>45892018.23</v>
      </c>
      <c r="H1" s="1" t="str">
        <f aca="true" t="shared" si="1" ref="H1:H68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98213.5+115009+85167.85+1018565.8+4357034.75+3943138.3+422492.3+763208.78+607580.45+342561.75+329570.5+353093.3</f>
        <v>12435636.28</v>
      </c>
      <c r="C2" s="1" t="str">
        <f aca="true" t="shared" si="2" ref="C2:C146">TEXT(A2,"#.#0")</f>
        <v>12435636.28</v>
      </c>
      <c r="D2" s="2">
        <f>INT(C2)</f>
        <v>12435636</v>
      </c>
      <c r="E2" s="3" t="str">
        <f t="shared" si="0"/>
        <v>28</v>
      </c>
      <c r="F2" s="5" t="s">
        <v>100</v>
      </c>
      <c r="G2" s="1">
        <v>353093.3</v>
      </c>
      <c r="H2" s="1" t="str">
        <f t="shared" si="1"/>
        <v>353093.30</v>
      </c>
      <c r="I2" s="2">
        <f aca="true" t="shared" si="3" ref="I2:I147">INT(H2)</f>
        <v>353093</v>
      </c>
      <c r="J2" s="3" t="str">
        <f>IF(G2-INT(G2)&lt;&gt;0,RIGHT(H2,2),)</f>
        <v>30</v>
      </c>
    </row>
    <row r="3" spans="1:10" ht="23.25">
      <c r="A3" s="1">
        <f>62717.4+351822+352638+319918+403862+343787+326867+335870+343012+315228+363790+547843</f>
        <v>4067354.4</v>
      </c>
      <c r="C3" s="1" t="str">
        <f t="shared" si="2"/>
        <v>4067354.40</v>
      </c>
      <c r="D3" s="2">
        <f aca="true" t="shared" si="4" ref="D3:D147">INT(C3)</f>
        <v>4067354</v>
      </c>
      <c r="E3" s="3" t="str">
        <f t="shared" si="0"/>
        <v>40</v>
      </c>
      <c r="F3" s="5" t="s">
        <v>101</v>
      </c>
      <c r="G3" s="1">
        <v>547843</v>
      </c>
      <c r="H3" s="1" t="str">
        <f t="shared" si="1"/>
        <v>547843.0</v>
      </c>
      <c r="I3" s="2">
        <f t="shared" si="3"/>
        <v>547843</v>
      </c>
      <c r="J3" s="3">
        <f aca="true" t="shared" si="5" ref="J3:J27">IF(G3-INT(G3)&lt;&gt;0,RIGHT(H3,2),)</f>
        <v>0</v>
      </c>
    </row>
    <row r="4" spans="1:10" ht="23.25">
      <c r="A4" s="1">
        <f>9750+57715.94+110178.97+205819.1+22340.07+26880+30489.94+29583.82+17653.84+169246.03+30212.05+97425.51</f>
        <v>807295.2700000001</v>
      </c>
      <c r="C4" s="1" t="str">
        <f t="shared" si="2"/>
        <v>807295.27</v>
      </c>
      <c r="D4" s="2">
        <f t="shared" si="4"/>
        <v>807295</v>
      </c>
      <c r="E4" s="3" t="str">
        <f t="shared" si="0"/>
        <v>27</v>
      </c>
      <c r="F4" s="5" t="s">
        <v>102</v>
      </c>
      <c r="G4" s="1">
        <v>97425.51</v>
      </c>
      <c r="H4" s="1" t="str">
        <f t="shared" si="1"/>
        <v>97425.51</v>
      </c>
      <c r="I4" s="2">
        <f t="shared" si="3"/>
        <v>97425</v>
      </c>
      <c r="J4" s="3" t="str">
        <f t="shared" si="5"/>
        <v>51</v>
      </c>
    </row>
    <row r="5" spans="1:10" ht="23.25">
      <c r="A5" s="1">
        <f>128509.6+120065+82360+171744+139641+173189+19225+21120+25293+16095+139617+25590</f>
        <v>1062448.6</v>
      </c>
      <c r="C5" s="1" t="str">
        <f t="shared" si="2"/>
        <v>1062448.60</v>
      </c>
      <c r="D5" s="2">
        <f t="shared" si="4"/>
        <v>1062448</v>
      </c>
      <c r="E5" s="3" t="str">
        <f t="shared" si="0"/>
        <v>60</v>
      </c>
      <c r="F5" s="5" t="s">
        <v>103</v>
      </c>
      <c r="G5" s="1">
        <v>25590</v>
      </c>
      <c r="H5" s="1" t="str">
        <f t="shared" si="1"/>
        <v>25590.0</v>
      </c>
      <c r="I5" s="2">
        <f t="shared" si="3"/>
        <v>25590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5497811.4+12636384.79+6602198.72+5385702.97+14818871.78+9453550.56+5091249.45+14393883.56+11931828.34+12088440.96+11156254.64+12308725.9</f>
        <v>121364903.07000001</v>
      </c>
      <c r="C6" s="1" t="str">
        <f t="shared" si="2"/>
        <v>121364903.07</v>
      </c>
      <c r="D6" s="2">
        <f t="shared" si="4"/>
        <v>121364903</v>
      </c>
      <c r="E6" s="3" t="str">
        <f t="shared" si="0"/>
        <v>07</v>
      </c>
      <c r="F6" s="5" t="s">
        <v>104</v>
      </c>
      <c r="G6" s="1">
        <v>12308725.9</v>
      </c>
      <c r="H6" s="1" t="str">
        <f t="shared" si="1"/>
        <v>12308725.90</v>
      </c>
      <c r="I6" s="2">
        <f t="shared" si="3"/>
        <v>12308725</v>
      </c>
      <c r="J6" s="3" t="str">
        <f t="shared" si="5"/>
        <v>90</v>
      </c>
      <c r="L6" s="1"/>
    </row>
    <row r="7" spans="1:12" ht="23.25">
      <c r="A7" s="1">
        <f>12691077+12734477+2356003+2012838</f>
        <v>29794395</v>
      </c>
      <c r="B7" s="1">
        <f>+A7+A6+A5+A4+A3+A2</f>
        <v>169532032.62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112</v>
      </c>
      <c r="G7" s="1">
        <v>0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122"/>
      <c r="L7" s="122">
        <f>SUM(G2:G7)</f>
        <v>13332677.71</v>
      </c>
    </row>
    <row r="8" spans="1:11" ht="23.25">
      <c r="A8" s="1">
        <f>7000+10000+4556+5000+7550+62639</f>
        <v>96745</v>
      </c>
      <c r="C8" s="1" t="str">
        <f t="shared" si="2"/>
        <v>96745.0</v>
      </c>
      <c r="D8" s="2">
        <f t="shared" si="4"/>
        <v>96745</v>
      </c>
      <c r="E8" s="3">
        <f t="shared" si="0"/>
        <v>0</v>
      </c>
      <c r="F8" s="5" t="s">
        <v>50</v>
      </c>
      <c r="G8" s="1">
        <v>62639</v>
      </c>
      <c r="H8" s="1" t="str">
        <f t="shared" si="1"/>
        <v>62639.0</v>
      </c>
      <c r="I8" s="2">
        <f t="shared" si="3"/>
        <v>62639</v>
      </c>
      <c r="J8" s="3">
        <f t="shared" si="5"/>
        <v>0</v>
      </c>
      <c r="K8" t="s">
        <v>350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105</v>
      </c>
      <c r="G9" s="1">
        <v>0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18500+9000+3000+5000+97000+1000+2000+24000+1000</f>
        <v>160500</v>
      </c>
      <c r="C10" s="1" t="str">
        <f t="shared" si="2"/>
        <v>160500.0</v>
      </c>
      <c r="D10" s="2">
        <f t="shared" si="4"/>
        <v>160500</v>
      </c>
      <c r="E10" s="3">
        <f t="shared" si="0"/>
        <v>0</v>
      </c>
      <c r="F10" s="5" t="s">
        <v>106</v>
      </c>
      <c r="G10" s="1">
        <v>1000</v>
      </c>
      <c r="H10" s="1" t="str">
        <f t="shared" si="1"/>
        <v>1000.0</v>
      </c>
      <c r="I10" s="2">
        <f t="shared" si="3"/>
        <v>1000</v>
      </c>
      <c r="J10" s="3">
        <f t="shared" si="5"/>
        <v>0</v>
      </c>
    </row>
    <row r="11" spans="1:10" ht="23.25">
      <c r="A11" s="1">
        <f>315896+128450+1211890+574450+509078+1859920+532210+672550+388502+478772+471400+327300</f>
        <v>7470418</v>
      </c>
      <c r="C11" s="1" t="str">
        <f t="shared" si="2"/>
        <v>7470418.0</v>
      </c>
      <c r="D11" s="2">
        <f t="shared" si="4"/>
        <v>7470418</v>
      </c>
      <c r="E11" s="3">
        <f t="shared" si="0"/>
        <v>0</v>
      </c>
      <c r="F11" s="5" t="s">
        <v>107</v>
      </c>
      <c r="G11" s="114">
        <v>327300</v>
      </c>
      <c r="H11" s="1" t="str">
        <f t="shared" si="1"/>
        <v>327300.0</v>
      </c>
      <c r="I11" s="2">
        <f t="shared" si="3"/>
        <v>327300</v>
      </c>
      <c r="J11" s="3">
        <f t="shared" si="5"/>
        <v>0</v>
      </c>
    </row>
    <row r="12" spans="1:10" ht="23.25">
      <c r="A12" s="1">
        <f>72000+4587300+2289600+85260+34800+4213780+63700+2216600+4382300+190800</f>
        <v>18136140</v>
      </c>
      <c r="C12" s="1" t="str">
        <f t="shared" si="2"/>
        <v>18136140.0</v>
      </c>
      <c r="D12" s="2">
        <f t="shared" si="4"/>
        <v>18136140</v>
      </c>
      <c r="E12" s="3">
        <f t="shared" si="0"/>
        <v>0</v>
      </c>
      <c r="F12" s="5" t="s">
        <v>108</v>
      </c>
      <c r="G12" s="1">
        <v>190800</v>
      </c>
      <c r="H12" s="1" t="str">
        <f t="shared" si="1"/>
        <v>190800.0</v>
      </c>
      <c r="I12" s="2">
        <f t="shared" si="3"/>
        <v>190800</v>
      </c>
      <c r="J12" s="3">
        <f t="shared" si="5"/>
        <v>0</v>
      </c>
    </row>
    <row r="13" spans="1:10" ht="23.25">
      <c r="A13" s="1">
        <f>32200+6800+6000+12000</f>
        <v>57000</v>
      </c>
      <c r="C13" s="1" t="str">
        <f>TEXT(A13,"#.#0")</f>
        <v>57000.0</v>
      </c>
      <c r="D13" s="2">
        <f t="shared" si="4"/>
        <v>57000</v>
      </c>
      <c r="E13" s="3">
        <f>IF(A13-INT(A13)&lt;&gt;0,RIGHT(C13,2),)</f>
        <v>0</v>
      </c>
      <c r="F13" s="5" t="s">
        <v>240</v>
      </c>
      <c r="G13" s="1">
        <v>12000</v>
      </c>
      <c r="H13" s="1" t="str">
        <f t="shared" si="1"/>
        <v>12000.0</v>
      </c>
      <c r="I13" s="2">
        <f t="shared" si="3"/>
        <v>12000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85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906315.99+1080071.87+2607489.29+1421416.58+3860231.15+1047923.27+1143377.75+995026.28+974353.83+916699.09+989612.69+161187.66</f>
        <v>16103705.45</v>
      </c>
      <c r="C15" s="1" t="str">
        <f t="shared" si="2"/>
        <v>16103705.45</v>
      </c>
      <c r="D15" s="2">
        <f t="shared" si="4"/>
        <v>16103705</v>
      </c>
      <c r="E15" s="3" t="str">
        <f t="shared" si="0"/>
        <v>45</v>
      </c>
      <c r="F15" s="5" t="s">
        <v>11</v>
      </c>
      <c r="G15" s="1">
        <v>161187.66</v>
      </c>
      <c r="H15" s="1" t="str">
        <f>TEXT(G15,"#.#0")</f>
        <v>161187.66</v>
      </c>
      <c r="I15" s="2">
        <f t="shared" si="3"/>
        <v>161187</v>
      </c>
      <c r="J15" s="3" t="str">
        <f>IF(G15-INT(G15)&lt;&gt;0,RIGHT(H15,2),)</f>
        <v>66</v>
      </c>
    </row>
    <row r="16" spans="1:10" ht="23.25">
      <c r="A16" s="1">
        <f>13888+75000+67020+220+121600+7600+6505338.01</f>
        <v>6790666.01</v>
      </c>
      <c r="C16" s="1" t="str">
        <f t="shared" si="2"/>
        <v>6790666.01</v>
      </c>
      <c r="D16" s="2">
        <f t="shared" si="4"/>
        <v>6790666</v>
      </c>
      <c r="E16" s="3" t="str">
        <f t="shared" si="0"/>
        <v>01</v>
      </c>
      <c r="F16" s="8" t="s">
        <v>12</v>
      </c>
      <c r="G16" s="1">
        <v>6505338.01</v>
      </c>
      <c r="H16" s="1" t="str">
        <f t="shared" si="1"/>
        <v>6505338.01</v>
      </c>
      <c r="I16" s="2">
        <f t="shared" si="3"/>
        <v>6505338</v>
      </c>
      <c r="J16" s="3" t="str">
        <f t="shared" si="5"/>
        <v>01</v>
      </c>
    </row>
    <row r="17" spans="1:10" ht="23.25">
      <c r="A17" s="1">
        <v>1344</v>
      </c>
      <c r="C17" s="1" t="str">
        <f>TEXT(A17,"#.#0")</f>
        <v>1344.0</v>
      </c>
      <c r="D17" s="2">
        <f t="shared" si="4"/>
        <v>1344</v>
      </c>
      <c r="E17" s="3">
        <f t="shared" si="0"/>
        <v>0</v>
      </c>
      <c r="F17" s="8" t="s">
        <v>159</v>
      </c>
      <c r="G17" s="1">
        <v>1344</v>
      </c>
      <c r="H17" s="1" t="str">
        <f t="shared" si="1"/>
        <v>1344.0</v>
      </c>
      <c r="I17" s="2">
        <f t="shared" si="3"/>
        <v>1344</v>
      </c>
      <c r="J17" s="3">
        <f>IF(G17-INT(G17)&lt;&gt;0,RIGHT(H17,2),)</f>
        <v>0</v>
      </c>
    </row>
    <row r="18" spans="1:10" ht="23.25">
      <c r="A18" s="1">
        <v>10200</v>
      </c>
      <c r="C18" s="1" t="str">
        <f>TEXT(A18,"#.#0")</f>
        <v>10200.0</v>
      </c>
      <c r="D18" s="2">
        <f t="shared" si="4"/>
        <v>10200</v>
      </c>
      <c r="E18" s="3">
        <f t="shared" si="0"/>
        <v>0</v>
      </c>
      <c r="F18" s="8" t="s">
        <v>389</v>
      </c>
      <c r="G18" s="1">
        <v>10200</v>
      </c>
      <c r="H18" s="1" t="str">
        <f t="shared" si="1"/>
        <v>10200.0</v>
      </c>
      <c r="I18" s="2">
        <f t="shared" si="3"/>
        <v>10200</v>
      </c>
      <c r="J18" s="3">
        <f>IF(G18-INT(G18)&lt;&gt;0,RIGHT(H18,2),)</f>
        <v>0</v>
      </c>
    </row>
    <row r="19" spans="1:10" ht="23.25">
      <c r="A19" s="1">
        <v>15000</v>
      </c>
      <c r="C19" s="1" t="str">
        <f>TEXT(A19,"#.#0")</f>
        <v>15000.0</v>
      </c>
      <c r="D19" s="2">
        <f t="shared" si="4"/>
        <v>15000</v>
      </c>
      <c r="E19" s="3">
        <f t="shared" si="0"/>
        <v>0</v>
      </c>
      <c r="F19" s="8" t="s">
        <v>390</v>
      </c>
      <c r="G19" s="1">
        <v>15000</v>
      </c>
      <c r="H19" s="1" t="str">
        <f t="shared" si="1"/>
        <v>15000.0</v>
      </c>
      <c r="I19" s="2">
        <f t="shared" si="3"/>
        <v>15000</v>
      </c>
      <c r="J19" s="3">
        <f>IF(G19-INT(G19)&lt;&gt;0,RIGHT(H19,2),)</f>
        <v>0</v>
      </c>
    </row>
    <row r="20" spans="1:10" ht="23.25">
      <c r="A20" s="1">
        <v>7200</v>
      </c>
      <c r="C20" s="1" t="str">
        <f>TEXT(A20,"#.#0")</f>
        <v>7200.0</v>
      </c>
      <c r="D20" s="2">
        <f t="shared" si="4"/>
        <v>7200</v>
      </c>
      <c r="E20" s="3">
        <f t="shared" si="0"/>
        <v>0</v>
      </c>
      <c r="F20" s="8" t="s">
        <v>398</v>
      </c>
      <c r="G20" s="1">
        <v>7200</v>
      </c>
      <c r="H20" s="1" t="str">
        <f t="shared" si="1"/>
        <v>7200.0</v>
      </c>
      <c r="I20" s="2">
        <f t="shared" si="3"/>
        <v>7200</v>
      </c>
      <c r="J20" s="3">
        <f>IF(G20-INT(G20)&lt;&gt;0,RIGHT(H20,2),)</f>
        <v>0</v>
      </c>
    </row>
    <row r="21" spans="3:10" ht="23.25">
      <c r="C21" s="1" t="str">
        <f>TEXT(A21,"#.#0")</f>
        <v>.0</v>
      </c>
      <c r="D21" s="2">
        <f t="shared" si="4"/>
        <v>0</v>
      </c>
      <c r="E21" s="3">
        <f>IF(A21-INT(A21)&lt;&gt;0,RIGHT(C21,2),)</f>
        <v>0</v>
      </c>
      <c r="F21" s="8" t="s">
        <v>187</v>
      </c>
      <c r="G21" s="1">
        <v>0</v>
      </c>
      <c r="H21" s="1" t="str">
        <f t="shared" si="1"/>
        <v>.0</v>
      </c>
      <c r="I21" s="2">
        <f t="shared" si="3"/>
        <v>0</v>
      </c>
      <c r="J21" s="3">
        <f>IF(G21-INT(G21)&lt;&gt;0,RIGHT(H21,2),)</f>
        <v>0</v>
      </c>
    </row>
    <row r="22" spans="1:10" ht="23.25">
      <c r="A22" s="1">
        <v>8400</v>
      </c>
      <c r="C22" s="1" t="str">
        <f t="shared" si="2"/>
        <v>8400.0</v>
      </c>
      <c r="D22" s="2">
        <f t="shared" si="4"/>
        <v>8400</v>
      </c>
      <c r="E22" s="3">
        <f t="shared" si="0"/>
        <v>0</v>
      </c>
      <c r="F22" s="8" t="s">
        <v>169</v>
      </c>
      <c r="H22" s="1" t="str">
        <f t="shared" si="1"/>
        <v>.0</v>
      </c>
      <c r="I22" s="2">
        <f t="shared" si="3"/>
        <v>0</v>
      </c>
      <c r="J22" s="3">
        <f t="shared" si="5"/>
        <v>0</v>
      </c>
    </row>
    <row r="23" spans="3:10" ht="23.25">
      <c r="C23" s="1" t="str">
        <f>TEXT(A23,"#.#0")</f>
        <v>.0</v>
      </c>
      <c r="D23" s="2">
        <f t="shared" si="4"/>
        <v>0</v>
      </c>
      <c r="E23" s="3">
        <f>IF(A23-INT(A23)&lt;&gt;0,RIGHT(C23,2),)</f>
        <v>0</v>
      </c>
      <c r="F23" s="8" t="s">
        <v>198</v>
      </c>
      <c r="H23" s="1" t="str">
        <f t="shared" si="1"/>
        <v>.0</v>
      </c>
      <c r="I23" s="2">
        <f t="shared" si="3"/>
        <v>0</v>
      </c>
      <c r="J23" s="3">
        <f>IF(G23-INT(G23)&lt;&gt;0,RIGHT(H23,2),)</f>
        <v>0</v>
      </c>
    </row>
    <row r="24" spans="3:10" ht="23.25">
      <c r="C24" s="1" t="str">
        <f t="shared" si="2"/>
        <v>.0</v>
      </c>
      <c r="D24" s="2">
        <f t="shared" si="4"/>
        <v>0</v>
      </c>
      <c r="E24" s="3">
        <f t="shared" si="0"/>
        <v>0</v>
      </c>
      <c r="F24" s="8" t="s">
        <v>170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6205100+40100+4103600+33100+4001100+1354600+7138900+46000+54400+233900</f>
        <v>23210800</v>
      </c>
      <c r="C25" s="1" t="str">
        <f>TEXT(A25,"#.#0")</f>
        <v>23210800.0</v>
      </c>
      <c r="D25" s="2">
        <f t="shared" si="4"/>
        <v>23210800</v>
      </c>
      <c r="E25" s="3">
        <f>IF(A25-INT(A25)&lt;&gt;0,RIGHT(C25,2),)</f>
        <v>0</v>
      </c>
      <c r="F25" s="8" t="s">
        <v>277</v>
      </c>
      <c r="G25" s="1">
        <v>233900</v>
      </c>
      <c r="H25" s="1" t="str">
        <f t="shared" si="1"/>
        <v>233900.0</v>
      </c>
      <c r="I25" s="2">
        <f t="shared" si="3"/>
        <v>233900</v>
      </c>
      <c r="J25" s="3">
        <f>IF(G25-INT(G25)&lt;&gt;0,RIGHT(H25,2),)</f>
        <v>0</v>
      </c>
    </row>
    <row r="26" spans="1:10" ht="23.25">
      <c r="A26" s="1">
        <f>984800+4000+979200+6400+5600+326400+164000+1221600+136000+58400+96800</f>
        <v>3983200</v>
      </c>
      <c r="C26" s="1" t="str">
        <f>TEXT(A26,"#.#0")</f>
        <v>3983200.0</v>
      </c>
      <c r="D26" s="2">
        <f t="shared" si="4"/>
        <v>3983200</v>
      </c>
      <c r="E26" s="3">
        <f>IF(A26-INT(A26)&lt;&gt;0,RIGHT(C26,2),)</f>
        <v>0</v>
      </c>
      <c r="F26" s="8" t="s">
        <v>278</v>
      </c>
      <c r="G26" s="1">
        <v>96800</v>
      </c>
      <c r="H26" s="1" t="str">
        <f t="shared" si="1"/>
        <v>96800.0</v>
      </c>
      <c r="I26" s="2">
        <f t="shared" si="3"/>
        <v>96800</v>
      </c>
      <c r="J26" s="3">
        <f>IF(G26-INT(G26)&lt;&gt;0,RIGHT(H26,2),)</f>
        <v>0</v>
      </c>
    </row>
    <row r="27" spans="1:10" ht="23.25">
      <c r="A27" s="1">
        <f>112140+74760+263400+182570+68710</f>
        <v>701580</v>
      </c>
      <c r="C27" s="1" t="str">
        <f t="shared" si="2"/>
        <v>701580.0</v>
      </c>
      <c r="D27" s="2">
        <f t="shared" si="4"/>
        <v>701580</v>
      </c>
      <c r="E27" s="3">
        <f t="shared" si="0"/>
        <v>0</v>
      </c>
      <c r="F27" s="8" t="s">
        <v>279</v>
      </c>
      <c r="G27" s="1">
        <v>68710</v>
      </c>
      <c r="H27" s="1" t="str">
        <f t="shared" si="1"/>
        <v>68710.0</v>
      </c>
      <c r="I27" s="2">
        <f t="shared" si="3"/>
        <v>68710</v>
      </c>
      <c r="J27" s="3">
        <f t="shared" si="5"/>
        <v>0</v>
      </c>
    </row>
    <row r="28" spans="1:10" ht="23.25">
      <c r="A28" s="1">
        <f>195500+94000+103400+36000</f>
        <v>428900</v>
      </c>
      <c r="C28" s="1" t="str">
        <f t="shared" si="2"/>
        <v>428900.0</v>
      </c>
      <c r="D28" s="2">
        <f t="shared" si="4"/>
        <v>428900</v>
      </c>
      <c r="E28" s="3">
        <f t="shared" si="0"/>
        <v>0</v>
      </c>
      <c r="F28" s="8" t="s">
        <v>280</v>
      </c>
      <c r="G28" s="1">
        <v>0</v>
      </c>
      <c r="H28" s="1" t="str">
        <f t="shared" si="1"/>
        <v>.0</v>
      </c>
      <c r="I28" s="2">
        <f t="shared" si="3"/>
        <v>0</v>
      </c>
      <c r="J28" s="3">
        <f aca="true" t="shared" si="6" ref="J28:J41">IF(G28-INT(G28)&lt;&gt;0,RIGHT(H28,2),)</f>
        <v>0</v>
      </c>
    </row>
    <row r="29" spans="1:10" ht="23.25">
      <c r="A29" s="1">
        <f>11275+5700+6270+3150</f>
        <v>26395</v>
      </c>
      <c r="C29" s="1" t="str">
        <f t="shared" si="2"/>
        <v>26395.0</v>
      </c>
      <c r="D29" s="2">
        <f t="shared" si="4"/>
        <v>26395</v>
      </c>
      <c r="E29" s="3">
        <f t="shared" si="0"/>
        <v>0</v>
      </c>
      <c r="F29" s="8" t="s">
        <v>281</v>
      </c>
      <c r="G29" s="1">
        <v>0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30000+20000+22000+6000</f>
        <v>78000</v>
      </c>
      <c r="C30" s="1" t="str">
        <f t="shared" si="2"/>
        <v>78000.0</v>
      </c>
      <c r="D30" s="2">
        <f t="shared" si="4"/>
        <v>78000</v>
      </c>
      <c r="E30" s="3">
        <f t="shared" si="0"/>
        <v>0</v>
      </c>
      <c r="F30" s="8" t="s">
        <v>284</v>
      </c>
      <c r="G30" s="1">
        <v>0</v>
      </c>
      <c r="H30" s="1" t="str">
        <f t="shared" si="1"/>
        <v>.0</v>
      </c>
      <c r="I30" s="2">
        <f t="shared" si="3"/>
        <v>0</v>
      </c>
      <c r="J30" s="3">
        <f t="shared" si="6"/>
        <v>0</v>
      </c>
    </row>
    <row r="31" spans="1:10" ht="23.25">
      <c r="A31" s="1">
        <v>6030000</v>
      </c>
      <c r="C31" s="1" t="str">
        <f t="shared" si="2"/>
        <v>6030000.0</v>
      </c>
      <c r="D31" s="2">
        <f t="shared" si="4"/>
        <v>6030000</v>
      </c>
      <c r="E31" s="3"/>
      <c r="F31" s="8" t="s">
        <v>365</v>
      </c>
      <c r="H31" s="1"/>
      <c r="I31" s="2"/>
      <c r="J31" s="3"/>
    </row>
    <row r="32" spans="1:10" ht="23.25">
      <c r="A32" s="1">
        <f>11512+2725</f>
        <v>14237</v>
      </c>
      <c r="C32" s="1" t="str">
        <f>TEXT(A32,"#.#0")</f>
        <v>14237.0</v>
      </c>
      <c r="D32" s="2">
        <f t="shared" si="4"/>
        <v>14237</v>
      </c>
      <c r="E32" s="3">
        <f>IF(A32-INT(A32)&lt;&gt;0,RIGHT(C32,2),)</f>
        <v>0</v>
      </c>
      <c r="F32" s="8" t="s">
        <v>304</v>
      </c>
      <c r="H32" s="1" t="str">
        <f t="shared" si="1"/>
        <v>.0</v>
      </c>
      <c r="I32" s="2">
        <f t="shared" si="3"/>
        <v>0</v>
      </c>
      <c r="J32" s="3">
        <f t="shared" si="6"/>
        <v>0</v>
      </c>
    </row>
    <row r="33" spans="1:10" ht="23.25">
      <c r="A33" s="1">
        <f>230238.72+54500</f>
        <v>284738.72</v>
      </c>
      <c r="C33" s="1" t="str">
        <f>TEXT(A33,"#.#0")</f>
        <v>284738.72</v>
      </c>
      <c r="D33" s="2">
        <f t="shared" si="4"/>
        <v>284738</v>
      </c>
      <c r="E33" s="3" t="str">
        <f>IF(A33-INT(A33)&lt;&gt;0,RIGHT(C33,2),)</f>
        <v>72</v>
      </c>
      <c r="F33" s="8" t="s">
        <v>172</v>
      </c>
      <c r="H33" s="1" t="str">
        <f t="shared" si="1"/>
        <v>.0</v>
      </c>
      <c r="I33" s="2">
        <f t="shared" si="3"/>
        <v>0</v>
      </c>
      <c r="J33" s="3">
        <f>IF(G33-INT(G33)&lt;&gt;0,RIGHT(H33,2),)</f>
        <v>0</v>
      </c>
    </row>
    <row r="34" spans="1:10" ht="23.25">
      <c r="A34" s="1">
        <f>3000</f>
        <v>3000</v>
      </c>
      <c r="C34" s="1" t="str">
        <f aca="true" t="shared" si="7" ref="C34:C50">TEXT(A34,"#.#0")</f>
        <v>3000.0</v>
      </c>
      <c r="D34" s="2">
        <f aca="true" t="shared" si="8" ref="D34:D54">INT(C34)</f>
        <v>3000</v>
      </c>
      <c r="E34" s="3">
        <f t="shared" si="0"/>
        <v>0</v>
      </c>
      <c r="F34" s="8" t="s">
        <v>174</v>
      </c>
      <c r="H34" s="1" t="str">
        <f aca="true" t="shared" si="9" ref="H34:H54">TEXT(G34,"#.#0")</f>
        <v>.0</v>
      </c>
      <c r="I34" s="2">
        <f aca="true" t="shared" si="10" ref="I34:I54">INT(H34)</f>
        <v>0</v>
      </c>
      <c r="J34" s="3">
        <f t="shared" si="6"/>
        <v>0</v>
      </c>
    </row>
    <row r="35" spans="1:10" ht="23.25">
      <c r="A35" s="1">
        <v>66310</v>
      </c>
      <c r="C35" s="1" t="str">
        <f t="shared" si="7"/>
        <v>66310.0</v>
      </c>
      <c r="D35" s="2">
        <f t="shared" si="8"/>
        <v>66310</v>
      </c>
      <c r="E35" s="3">
        <f t="shared" si="0"/>
        <v>0</v>
      </c>
      <c r="F35" s="8" t="s">
        <v>175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5938</v>
      </c>
      <c r="C36" s="1" t="str">
        <f>TEXT(A36,"#.#0")</f>
        <v>5938.0</v>
      </c>
      <c r="D36" s="2">
        <f t="shared" si="8"/>
        <v>5938</v>
      </c>
      <c r="E36" s="3">
        <f>IF(A36-INT(A36)&lt;&gt;0,RIGHT(C36,2),)</f>
        <v>0</v>
      </c>
      <c r="F36" s="8" t="s">
        <v>215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49061</v>
      </c>
      <c r="C37" s="1" t="str">
        <f>TEXT(A37,"#.#0")</f>
        <v>49061.0</v>
      </c>
      <c r="D37" s="2">
        <f t="shared" si="8"/>
        <v>49061</v>
      </c>
      <c r="E37" s="3">
        <f>IF(A37-INT(A37)&lt;&gt;0,RIGHT(C37,2),)</f>
        <v>0</v>
      </c>
      <c r="F37" s="8" t="s">
        <v>176</v>
      </c>
      <c r="H37" s="1" t="str">
        <f t="shared" si="9"/>
        <v>.0</v>
      </c>
      <c r="I37" s="2">
        <f t="shared" si="10"/>
        <v>0</v>
      </c>
      <c r="J37" s="3">
        <f>IF(G37-INT(G37)&lt;&gt;0,RIGHT(H37,2),)</f>
        <v>0</v>
      </c>
    </row>
    <row r="38" spans="1:10" ht="23.25">
      <c r="A38" s="1">
        <f>94500+135000</f>
        <v>229500</v>
      </c>
      <c r="C38" s="1" t="str">
        <f>TEXT(A38,"#.#0")</f>
        <v>229500.0</v>
      </c>
      <c r="D38" s="2">
        <f t="shared" si="8"/>
        <v>229500</v>
      </c>
      <c r="E38" s="3">
        <f>IF(A38-INT(A38)&lt;&gt;0,RIGHT(C38,2),)</f>
        <v>0</v>
      </c>
      <c r="F38" s="8" t="s">
        <v>285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14085</v>
      </c>
      <c r="C39" s="1" t="str">
        <f t="shared" si="7"/>
        <v>14085.0</v>
      </c>
      <c r="D39" s="2">
        <f t="shared" si="8"/>
        <v>14085</v>
      </c>
      <c r="E39" s="3">
        <f t="shared" si="0"/>
        <v>0</v>
      </c>
      <c r="F39" s="8" t="s">
        <v>177</v>
      </c>
      <c r="H39" s="1" t="str">
        <f t="shared" si="9"/>
        <v>.0</v>
      </c>
      <c r="I39" s="2">
        <f t="shared" si="10"/>
        <v>0</v>
      </c>
      <c r="J39" s="3">
        <f t="shared" si="6"/>
        <v>0</v>
      </c>
    </row>
    <row r="40" spans="1:10" ht="23.25">
      <c r="A40" s="1">
        <v>3422</v>
      </c>
      <c r="C40" s="1" t="str">
        <f>TEXT(A40,"#.#0")</f>
        <v>3422.0</v>
      </c>
      <c r="D40" s="2">
        <f t="shared" si="8"/>
        <v>3422</v>
      </c>
      <c r="E40" s="3">
        <f>IF(A40-INT(A40)&lt;&gt;0,RIGHT(C40,2),)</f>
        <v>0</v>
      </c>
      <c r="F40" s="8" t="s">
        <v>216</v>
      </c>
      <c r="H40" s="1" t="str">
        <f t="shared" si="9"/>
        <v>.0</v>
      </c>
      <c r="I40" s="2">
        <f t="shared" si="10"/>
        <v>0</v>
      </c>
      <c r="J40" s="3">
        <f t="shared" si="6"/>
        <v>0</v>
      </c>
    </row>
    <row r="41" spans="1:10" ht="23.25">
      <c r="A41" s="1">
        <v>51361</v>
      </c>
      <c r="C41" s="1" t="str">
        <f t="shared" si="7"/>
        <v>51361.0</v>
      </c>
      <c r="D41" s="2">
        <f t="shared" si="8"/>
        <v>51361</v>
      </c>
      <c r="E41" s="3">
        <f t="shared" si="0"/>
        <v>0</v>
      </c>
      <c r="F41" s="8" t="s">
        <v>178</v>
      </c>
      <c r="H41" s="1" t="str">
        <f t="shared" si="9"/>
        <v>.0</v>
      </c>
      <c r="I41" s="2">
        <f t="shared" si="10"/>
        <v>0</v>
      </c>
      <c r="J41" s="3">
        <f t="shared" si="6"/>
        <v>0</v>
      </c>
    </row>
    <row r="42" spans="1:10" ht="23.25">
      <c r="A42" s="1">
        <v>18000</v>
      </c>
      <c r="C42" s="1" t="str">
        <f t="shared" si="7"/>
        <v>18000.0</v>
      </c>
      <c r="D42" s="2">
        <f t="shared" si="8"/>
        <v>18000</v>
      </c>
      <c r="E42" s="3">
        <f t="shared" si="0"/>
        <v>0</v>
      </c>
      <c r="F42" s="8" t="s">
        <v>179</v>
      </c>
      <c r="H42" s="1" t="str">
        <f t="shared" si="9"/>
        <v>.0</v>
      </c>
      <c r="I42" s="2">
        <f t="shared" si="10"/>
        <v>0</v>
      </c>
      <c r="J42" s="3">
        <f aca="true" t="shared" si="11" ref="J42:J50">IF(G42-INT(G42)&lt;&gt;0,RIGHT(H42,2),)</f>
        <v>0</v>
      </c>
    </row>
    <row r="43" spans="1:10" ht="23.25">
      <c r="A43" s="1">
        <v>1427</v>
      </c>
      <c r="C43" s="1" t="str">
        <f>TEXT(A43,"#.#0")</f>
        <v>1427.0</v>
      </c>
      <c r="D43" s="2">
        <f t="shared" si="8"/>
        <v>1427</v>
      </c>
      <c r="E43" s="3">
        <f>IF(A43-INT(A43)&lt;&gt;0,RIGHT(C43,2),)</f>
        <v>0</v>
      </c>
      <c r="F43" s="8" t="s">
        <v>217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37505</v>
      </c>
      <c r="C44" s="1" t="str">
        <f t="shared" si="7"/>
        <v>37505.0</v>
      </c>
      <c r="D44" s="2">
        <f t="shared" si="8"/>
        <v>37505</v>
      </c>
      <c r="E44" s="3">
        <f t="shared" si="0"/>
        <v>0</v>
      </c>
      <c r="F44" s="8" t="s">
        <v>192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1:10" ht="23.25">
      <c r="A45" s="1">
        <v>36132</v>
      </c>
      <c r="C45" s="1" t="str">
        <f>TEXT(A45,"#.#0")</f>
        <v>36132.0</v>
      </c>
      <c r="D45" s="2">
        <f t="shared" si="8"/>
        <v>36132</v>
      </c>
      <c r="E45" s="3">
        <f>IF(A45-INT(A45)&lt;&gt;0,RIGHT(C45,2),)</f>
        <v>0</v>
      </c>
      <c r="F45" s="8" t="s">
        <v>197</v>
      </c>
      <c r="H45" s="1" t="str">
        <f t="shared" si="9"/>
        <v>.0</v>
      </c>
      <c r="I45" s="2">
        <f t="shared" si="10"/>
        <v>0</v>
      </c>
      <c r="J45" s="3">
        <f>IF(G45-INT(G45)&lt;&gt;0,RIGHT(H45,2),)</f>
        <v>0</v>
      </c>
    </row>
    <row r="46" spans="1:10" ht="23.25">
      <c r="A46" s="1">
        <v>7070</v>
      </c>
      <c r="C46" s="1" t="str">
        <f>TEXT(A46,"#.#0")</f>
        <v>7070.0</v>
      </c>
      <c r="D46" s="2">
        <f t="shared" si="8"/>
        <v>7070</v>
      </c>
      <c r="E46" s="3">
        <f>IF(A46-INT(A46)&lt;&gt;0,RIGHT(C46,2),)</f>
        <v>0</v>
      </c>
      <c r="F46" s="8" t="s">
        <v>208</v>
      </c>
      <c r="H46" s="1" t="str">
        <f t="shared" si="9"/>
        <v>.0</v>
      </c>
      <c r="I46" s="2">
        <f t="shared" si="10"/>
        <v>0</v>
      </c>
      <c r="J46" s="3">
        <f>IF(G46-INT(G46)&lt;&gt;0,RIGHT(H46,2),)</f>
        <v>0</v>
      </c>
    </row>
    <row r="47" spans="1:10" ht="23.25">
      <c r="A47" s="1">
        <v>8580</v>
      </c>
      <c r="C47" s="1" t="str">
        <f t="shared" si="7"/>
        <v>8580.0</v>
      </c>
      <c r="D47" s="2">
        <f t="shared" si="8"/>
        <v>8580</v>
      </c>
      <c r="E47" s="3">
        <f t="shared" si="0"/>
        <v>0</v>
      </c>
      <c r="F47" s="8" t="s">
        <v>313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3:10" ht="23.25">
      <c r="C48" s="1" t="str">
        <f t="shared" si="7"/>
        <v>.0</v>
      </c>
      <c r="D48" s="2">
        <f t="shared" si="8"/>
        <v>0</v>
      </c>
      <c r="E48" s="3">
        <f t="shared" si="0"/>
        <v>0</v>
      </c>
      <c r="F48" s="8" t="s">
        <v>181</v>
      </c>
      <c r="H48" s="1" t="str">
        <f t="shared" si="9"/>
        <v>.0</v>
      </c>
      <c r="I48" s="2">
        <f t="shared" si="10"/>
        <v>0</v>
      </c>
      <c r="J48" s="3">
        <f t="shared" si="11"/>
        <v>0</v>
      </c>
    </row>
    <row r="49" spans="3:10" ht="23.25">
      <c r="C49" s="1" t="str">
        <f t="shared" si="7"/>
        <v>.0</v>
      </c>
      <c r="D49" s="2">
        <f t="shared" si="8"/>
        <v>0</v>
      </c>
      <c r="E49" s="3">
        <f t="shared" si="0"/>
        <v>0</v>
      </c>
      <c r="F49" s="8" t="s">
        <v>182</v>
      </c>
      <c r="H49" s="1" t="str">
        <f t="shared" si="9"/>
        <v>.0</v>
      </c>
      <c r="I49" s="2">
        <f t="shared" si="10"/>
        <v>0</v>
      </c>
      <c r="J49" s="3">
        <f t="shared" si="11"/>
        <v>0</v>
      </c>
    </row>
    <row r="50" spans="3:10" ht="23.25">
      <c r="C50" s="1" t="str">
        <f t="shared" si="7"/>
        <v>.0</v>
      </c>
      <c r="D50" s="2">
        <f t="shared" si="8"/>
        <v>0</v>
      </c>
      <c r="E50" s="3">
        <f t="shared" si="0"/>
        <v>0</v>
      </c>
      <c r="F50" s="8" t="s">
        <v>183</v>
      </c>
      <c r="H50" s="1" t="str">
        <f t="shared" si="9"/>
        <v>.0</v>
      </c>
      <c r="I50" s="2">
        <f t="shared" si="10"/>
        <v>0</v>
      </c>
      <c r="J50" s="3">
        <f t="shared" si="11"/>
        <v>0</v>
      </c>
    </row>
    <row r="51" spans="1:10" ht="23.25">
      <c r="A51" s="1">
        <f>12000+12000+12000+4000+4000</f>
        <v>44000</v>
      </c>
      <c r="C51" s="1" t="str">
        <f>TEXT(A51,"#.#0")</f>
        <v>44000.0</v>
      </c>
      <c r="D51" s="2">
        <f t="shared" si="8"/>
        <v>44000</v>
      </c>
      <c r="E51" s="3">
        <f>IF(A51-INT(A51)&lt;&gt;0,RIGHT(C51,2),)</f>
        <v>0</v>
      </c>
      <c r="F51" s="8" t="s">
        <v>286</v>
      </c>
      <c r="G51" s="1">
        <v>4000</v>
      </c>
      <c r="H51" s="1" t="str">
        <f t="shared" si="9"/>
        <v>4000.0</v>
      </c>
      <c r="I51" s="2">
        <f t="shared" si="10"/>
        <v>4000</v>
      </c>
      <c r="J51" s="3">
        <f aca="true" t="shared" si="12" ref="J51:J58">IF(G51-INT(G51)&lt;&gt;0,RIGHT(H51,2),)</f>
        <v>0</v>
      </c>
    </row>
    <row r="52" spans="1:10" ht="23.25">
      <c r="A52" s="1">
        <v>10500</v>
      </c>
      <c r="C52" s="1" t="str">
        <f>TEXT(A52,"#.#0")</f>
        <v>10500.0</v>
      </c>
      <c r="D52" s="2">
        <f t="shared" si="8"/>
        <v>10500</v>
      </c>
      <c r="E52" s="3">
        <f>IF(A52-INT(A52)&lt;&gt;0,RIGHT(C52,2),)</f>
        <v>0</v>
      </c>
      <c r="F52" s="8" t="s">
        <v>314</v>
      </c>
      <c r="H52" s="1" t="str">
        <f t="shared" si="9"/>
        <v>.0</v>
      </c>
      <c r="I52" s="2">
        <f t="shared" si="10"/>
        <v>0</v>
      </c>
      <c r="J52" s="3">
        <f t="shared" si="12"/>
        <v>0</v>
      </c>
    </row>
    <row r="53" spans="1:10" ht="23.25">
      <c r="A53" s="1">
        <v>34200</v>
      </c>
      <c r="C53" s="1" t="str">
        <f>TEXT(A53,"#.#0")</f>
        <v>34200.0</v>
      </c>
      <c r="D53" s="2">
        <f t="shared" si="8"/>
        <v>34200</v>
      </c>
      <c r="E53" s="3">
        <f>IF(A53-INT(A53)&lt;&gt;0,RIGHT(C53,2),)</f>
        <v>0</v>
      </c>
      <c r="F53" s="8" t="s">
        <v>320</v>
      </c>
      <c r="H53" s="1" t="str">
        <f t="shared" si="9"/>
        <v>.0</v>
      </c>
      <c r="I53" s="2">
        <f t="shared" si="10"/>
        <v>0</v>
      </c>
      <c r="J53" s="3">
        <f>IF(G53-INT(G53)&lt;&gt;0,RIGHT(H53,2),)</f>
        <v>0</v>
      </c>
    </row>
    <row r="54" spans="1:10" ht="23.25">
      <c r="A54" s="1">
        <v>1710</v>
      </c>
      <c r="C54" s="1" t="str">
        <f>TEXT(A54,"#.#0")</f>
        <v>1710.0</v>
      </c>
      <c r="D54" s="2">
        <f t="shared" si="8"/>
        <v>1710</v>
      </c>
      <c r="E54" s="3">
        <f>IF(A54-INT(A54)&lt;&gt;0,RIGHT(C54,2),)</f>
        <v>0</v>
      </c>
      <c r="F54" s="8" t="s">
        <v>321</v>
      </c>
      <c r="H54" s="1" t="str">
        <f t="shared" si="9"/>
        <v>.0</v>
      </c>
      <c r="I54" s="2">
        <f t="shared" si="10"/>
        <v>0</v>
      </c>
      <c r="J54" s="3">
        <f>IF(G54-INT(G54)&lt;&gt;0,RIGHT(H54,2),)</f>
        <v>0</v>
      </c>
    </row>
    <row r="55" spans="3:10" ht="23.25">
      <c r="C55" s="1" t="str">
        <f t="shared" si="2"/>
        <v>.0</v>
      </c>
      <c r="D55" s="2">
        <f t="shared" si="4"/>
        <v>0</v>
      </c>
      <c r="E55" s="3">
        <f t="shared" si="0"/>
        <v>0</v>
      </c>
      <c r="F55" s="8" t="s">
        <v>130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v>78200</v>
      </c>
      <c r="C56" s="1" t="str">
        <f t="shared" si="2"/>
        <v>78200.0</v>
      </c>
      <c r="D56" s="2">
        <f t="shared" si="4"/>
        <v>78200</v>
      </c>
      <c r="E56" s="113">
        <f t="shared" si="0"/>
        <v>0</v>
      </c>
      <c r="F56" s="112" t="s">
        <v>96</v>
      </c>
      <c r="G56" s="1">
        <v>78200</v>
      </c>
      <c r="H56" s="1" t="str">
        <f t="shared" si="1"/>
        <v>78200.0</v>
      </c>
      <c r="I56" s="2">
        <f t="shared" si="3"/>
        <v>78200</v>
      </c>
      <c r="J56" s="3">
        <f t="shared" si="12"/>
        <v>0</v>
      </c>
    </row>
    <row r="57" spans="1:10" ht="23.25">
      <c r="A57" s="1">
        <v>4946800</v>
      </c>
      <c r="C57" s="1" t="str">
        <f t="shared" si="2"/>
        <v>4946800.0</v>
      </c>
      <c r="D57" s="2">
        <f t="shared" si="4"/>
        <v>4946800</v>
      </c>
      <c r="E57" s="113">
        <f t="shared" si="0"/>
        <v>0</v>
      </c>
      <c r="F57" s="112" t="s">
        <v>21</v>
      </c>
      <c r="G57" s="1">
        <v>4946800</v>
      </c>
      <c r="H57" s="1" t="str">
        <f t="shared" si="1"/>
        <v>4946800.0</v>
      </c>
      <c r="I57" s="2">
        <f t="shared" si="3"/>
        <v>4946800</v>
      </c>
      <c r="J57" s="3">
        <f t="shared" si="12"/>
        <v>0</v>
      </c>
    </row>
    <row r="58" spans="3:10" ht="23.25">
      <c r="C58" s="1" t="str">
        <f t="shared" si="2"/>
        <v>.0</v>
      </c>
      <c r="D58" s="2">
        <f t="shared" si="4"/>
        <v>0</v>
      </c>
      <c r="E58" s="113">
        <f t="shared" si="0"/>
        <v>0</v>
      </c>
      <c r="F58" s="112" t="s">
        <v>246</v>
      </c>
      <c r="H58" s="1" t="str">
        <f t="shared" si="1"/>
        <v>.0</v>
      </c>
      <c r="I58" s="2">
        <f t="shared" si="3"/>
        <v>0</v>
      </c>
      <c r="J58" s="3">
        <f t="shared" si="12"/>
        <v>0</v>
      </c>
    </row>
    <row r="59" spans="1:10" ht="23.25">
      <c r="A59" s="1">
        <f>500+500+1000+500+500+500+1000+500+1000+500</f>
        <v>6500</v>
      </c>
      <c r="C59" s="1" t="str">
        <f t="shared" si="2"/>
        <v>6500.0</v>
      </c>
      <c r="D59" s="2">
        <f t="shared" si="4"/>
        <v>6500</v>
      </c>
      <c r="E59" s="113">
        <f t="shared" si="0"/>
        <v>0</v>
      </c>
      <c r="F59" s="112" t="s">
        <v>14</v>
      </c>
      <c r="G59" s="1">
        <v>500</v>
      </c>
      <c r="H59" s="1" t="str">
        <f t="shared" si="1"/>
        <v>500.0</v>
      </c>
      <c r="I59" s="2">
        <f t="shared" si="3"/>
        <v>500</v>
      </c>
      <c r="J59" s="3">
        <f aca="true" t="shared" si="13" ref="J59:J68">IF(G59-INT(G59)&lt;&gt;0,RIGHT(H59,2),)</f>
        <v>0</v>
      </c>
    </row>
    <row r="60" spans="1:10" ht="23.25">
      <c r="A60" s="1">
        <f>1450+2320+396.8</f>
        <v>4166.8</v>
      </c>
      <c r="C60" s="1" t="str">
        <f t="shared" si="2"/>
        <v>4166.80</v>
      </c>
      <c r="D60" s="2">
        <f t="shared" si="4"/>
        <v>4166</v>
      </c>
      <c r="E60" s="113" t="str">
        <f t="shared" si="0"/>
        <v>80</v>
      </c>
      <c r="F60" s="112" t="s">
        <v>234</v>
      </c>
      <c r="G60" s="1">
        <v>0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v>10525.17</v>
      </c>
      <c r="C61" s="1" t="str">
        <f t="shared" si="2"/>
        <v>10525.17</v>
      </c>
      <c r="D61" s="2">
        <f t="shared" si="4"/>
        <v>10525</v>
      </c>
      <c r="E61" s="113" t="str">
        <f t="shared" si="0"/>
        <v>17</v>
      </c>
      <c r="F61" s="112" t="s">
        <v>232</v>
      </c>
      <c r="G61" s="1">
        <v>0</v>
      </c>
      <c r="H61" s="1"/>
      <c r="I61" s="2"/>
      <c r="J61" s="3"/>
    </row>
    <row r="62" spans="1:10" ht="23.25">
      <c r="A62" s="1">
        <v>42952.27</v>
      </c>
      <c r="C62" s="1" t="str">
        <f t="shared" si="2"/>
        <v>42952.27</v>
      </c>
      <c r="D62" s="2">
        <f t="shared" si="4"/>
        <v>42952</v>
      </c>
      <c r="E62" s="113" t="str">
        <f t="shared" si="0"/>
        <v>27</v>
      </c>
      <c r="F62" s="112" t="s">
        <v>154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3:10" ht="23.25">
      <c r="C63" s="1" t="str">
        <f t="shared" si="2"/>
        <v>.0</v>
      </c>
      <c r="D63" s="2">
        <f t="shared" si="4"/>
        <v>0</v>
      </c>
      <c r="E63" s="113">
        <f t="shared" si="0"/>
        <v>0</v>
      </c>
      <c r="F63" s="112" t="s">
        <v>15</v>
      </c>
      <c r="G63" s="1">
        <v>0</v>
      </c>
      <c r="H63" s="1" t="str">
        <f t="shared" si="1"/>
        <v>.0</v>
      </c>
      <c r="I63" s="2">
        <f t="shared" si="3"/>
        <v>0</v>
      </c>
      <c r="J63" s="3">
        <f t="shared" si="13"/>
        <v>0</v>
      </c>
    </row>
    <row r="64" spans="1:10" ht="23.25">
      <c r="A64" s="1">
        <f>84500+2433.18+8135</f>
        <v>95068.18</v>
      </c>
      <c r="C64" s="1" t="str">
        <f t="shared" si="2"/>
        <v>95068.18</v>
      </c>
      <c r="D64" s="2">
        <f t="shared" si="4"/>
        <v>95068</v>
      </c>
      <c r="E64" s="113" t="str">
        <f t="shared" si="0"/>
        <v>18</v>
      </c>
      <c r="F64" s="112" t="s">
        <v>16</v>
      </c>
      <c r="G64" s="1">
        <v>0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1:10" ht="23.25">
      <c r="A65" s="1">
        <f>3781+143647.55+135+130371.44</f>
        <v>277934.99</v>
      </c>
      <c r="C65" s="1" t="str">
        <f t="shared" si="2"/>
        <v>277934.99</v>
      </c>
      <c r="D65" s="2">
        <f t="shared" si="4"/>
        <v>277934</v>
      </c>
      <c r="E65" s="113" t="str">
        <f t="shared" si="0"/>
        <v>99</v>
      </c>
      <c r="F65" s="112" t="s">
        <v>18</v>
      </c>
      <c r="G65" s="1">
        <v>130371.44</v>
      </c>
      <c r="H65" s="1" t="str">
        <f t="shared" si="1"/>
        <v>130371.44</v>
      </c>
      <c r="I65" s="2">
        <f t="shared" si="3"/>
        <v>130371</v>
      </c>
      <c r="J65" s="3" t="str">
        <f t="shared" si="13"/>
        <v>44</v>
      </c>
    </row>
    <row r="66" spans="1:10" ht="23.25">
      <c r="A66" s="1">
        <f>7500+7500</f>
        <v>15000</v>
      </c>
      <c r="C66" s="1" t="str">
        <f>TEXT(A66,"#.#0")</f>
        <v>15000.0</v>
      </c>
      <c r="D66" s="2">
        <f t="shared" si="4"/>
        <v>15000</v>
      </c>
      <c r="E66" s="113">
        <f>IF(A66-INT(A66)&lt;&gt;0,RIGHT(C66,2),)</f>
        <v>0</v>
      </c>
      <c r="F66" s="112" t="s">
        <v>10</v>
      </c>
      <c r="G66" s="1">
        <v>7500</v>
      </c>
      <c r="H66" s="1" t="str">
        <f t="shared" si="1"/>
        <v>7500.0</v>
      </c>
      <c r="I66" s="2">
        <f t="shared" si="3"/>
        <v>7500</v>
      </c>
      <c r="J66" s="3">
        <f>IF(G66-INT(G66)&lt;&gt;0,RIGHT(H66,2),)</f>
        <v>0</v>
      </c>
    </row>
    <row r="67" spans="3:10" ht="23.25">
      <c r="C67" s="1" t="str">
        <f t="shared" si="2"/>
        <v>.0</v>
      </c>
      <c r="D67" s="2">
        <f t="shared" si="4"/>
        <v>0</v>
      </c>
      <c r="E67" s="113">
        <f t="shared" si="0"/>
        <v>0</v>
      </c>
      <c r="F67" s="112" t="s">
        <v>119</v>
      </c>
      <c r="H67" s="1" t="str">
        <f t="shared" si="1"/>
        <v>.0</v>
      </c>
      <c r="I67" s="2">
        <f t="shared" si="3"/>
        <v>0</v>
      </c>
      <c r="J67" s="3">
        <f t="shared" si="13"/>
        <v>0</v>
      </c>
    </row>
    <row r="68" spans="3:10" ht="23.25">
      <c r="C68" s="1"/>
      <c r="D68" s="2"/>
      <c r="E68" s="3"/>
      <c r="F68" s="54"/>
      <c r="H68" s="1" t="str">
        <f t="shared" si="1"/>
        <v>.0</v>
      </c>
      <c r="I68" s="2">
        <f t="shared" si="3"/>
        <v>0</v>
      </c>
      <c r="J68" s="3">
        <f t="shared" si="13"/>
        <v>0</v>
      </c>
    </row>
    <row r="69" spans="3:10" ht="23.25">
      <c r="C69" s="1"/>
      <c r="D69" s="2"/>
      <c r="E69" s="3"/>
      <c r="F69" s="54"/>
      <c r="H69" s="1"/>
      <c r="I69" s="2"/>
      <c r="J69" s="3"/>
    </row>
    <row r="70" spans="3:10" ht="23.25">
      <c r="C70" s="1"/>
      <c r="D70" s="2"/>
      <c r="E70" s="3"/>
      <c r="F70" s="54"/>
      <c r="H70" s="1"/>
      <c r="I70" s="2"/>
      <c r="J70" s="3"/>
    </row>
    <row r="71" spans="1:10" ht="23.25">
      <c r="A71" s="1">
        <f>SUM(A2:A70)</f>
        <v>259246150.21</v>
      </c>
      <c r="C71" s="1" t="str">
        <f t="shared" si="2"/>
        <v>259246150.21</v>
      </c>
      <c r="D71" s="2">
        <f t="shared" si="4"/>
        <v>259246150</v>
      </c>
      <c r="E71" s="3" t="str">
        <f>IF(A71-INT(A71)&lt;&gt;0,RIGHT(C71,2),)</f>
        <v>21</v>
      </c>
      <c r="F71" s="109" t="s">
        <v>26</v>
      </c>
      <c r="G71" s="1">
        <f>SUM(G2:G70)</f>
        <v>26193467.820000004</v>
      </c>
      <c r="H71" s="1" t="str">
        <f>TEXT(G71,"#.#0")</f>
        <v>26193467.82</v>
      </c>
      <c r="I71" s="2">
        <f t="shared" si="3"/>
        <v>26193467</v>
      </c>
      <c r="J71" s="3" t="str">
        <f>IF(G71-INT(G71)&lt;&gt;0,RIGHT(H71,2),)</f>
        <v>82</v>
      </c>
    </row>
    <row r="72" spans="3:10" ht="23.25">
      <c r="C72" s="1"/>
      <c r="D72" s="2"/>
      <c r="E72" s="3"/>
      <c r="H72" s="1" t="str">
        <f aca="true" t="shared" si="14" ref="H72:H144">TEXT(G72,"#.#0")</f>
        <v>.0</v>
      </c>
      <c r="I72" s="2"/>
      <c r="J72" s="3"/>
    </row>
    <row r="73" spans="1:13" ht="23.25">
      <c r="A73" s="1">
        <f>88141.97+440557.09+2975898.18+336760.83+927635.04+357540.86+303025.96+305400.49+303113.54+282602.21+4906325.39+3080251.96</f>
        <v>14307253.52</v>
      </c>
      <c r="C73" s="1" t="str">
        <f t="shared" si="2"/>
        <v>14307253.52</v>
      </c>
      <c r="D73" s="2">
        <f t="shared" si="4"/>
        <v>14307253</v>
      </c>
      <c r="E73" s="3" t="str">
        <f aca="true" t="shared" si="15" ref="E73:E115">IF(A73-INT(A73)&lt;&gt;0,RIGHT(C73,2),)</f>
        <v>52</v>
      </c>
      <c r="F73" s="7" t="s">
        <v>14</v>
      </c>
      <c r="G73" s="1">
        <v>3080251.96</v>
      </c>
      <c r="H73" s="1" t="str">
        <f t="shared" si="14"/>
        <v>3080251.96</v>
      </c>
      <c r="I73" s="2">
        <f t="shared" si="3"/>
        <v>3080251</v>
      </c>
      <c r="J73" s="3" t="str">
        <f>IF(G73-INT(G73)&lt;&gt;0,RIGHT(H73,2),)</f>
        <v>96</v>
      </c>
      <c r="K73" t="s">
        <v>353</v>
      </c>
      <c r="M73" s="1"/>
    </row>
    <row r="74" spans="1:13" ht="23.25">
      <c r="A74" s="1">
        <f>353160+353160+340458.39+337410+337410+337410+337410+337410+170970+170970+170970</f>
        <v>3246738.39</v>
      </c>
      <c r="C74" s="1" t="str">
        <f t="shared" si="2"/>
        <v>3246738.39</v>
      </c>
      <c r="D74" s="2">
        <f t="shared" si="4"/>
        <v>3246738</v>
      </c>
      <c r="E74" s="3" t="str">
        <f t="shared" si="15"/>
        <v>39</v>
      </c>
      <c r="F74" s="7" t="s">
        <v>154</v>
      </c>
      <c r="G74" s="1">
        <v>0</v>
      </c>
      <c r="H74" s="1" t="str">
        <f t="shared" si="14"/>
        <v>.0</v>
      </c>
      <c r="I74" s="2">
        <f t="shared" si="3"/>
        <v>0</v>
      </c>
      <c r="J74" s="3">
        <f aca="true" t="shared" si="16" ref="J74:J115">IF(G74-INT(G74)&lt;&gt;0,RIGHT(H74,2),)</f>
        <v>0</v>
      </c>
      <c r="M74" s="1"/>
    </row>
    <row r="75" spans="1:13" ht="23.25">
      <c r="A75" s="1">
        <f>1654379.03+1775574.2+1745690.62+1828218.71+1821600+1834699.85+1863410+1893631.29+1947845.72+2003968+1967334.52</f>
        <v>20336351.94</v>
      </c>
      <c r="C75" s="1" t="str">
        <f t="shared" si="2"/>
        <v>20336351.94</v>
      </c>
      <c r="D75" s="2">
        <f t="shared" si="4"/>
        <v>20336351</v>
      </c>
      <c r="E75" s="3" t="str">
        <f t="shared" si="15"/>
        <v>94</v>
      </c>
      <c r="F75" s="7" t="s">
        <v>232</v>
      </c>
      <c r="G75" s="1">
        <v>0</v>
      </c>
      <c r="H75" s="1" t="str">
        <f t="shared" si="14"/>
        <v>.0</v>
      </c>
      <c r="I75" s="2">
        <f t="shared" si="3"/>
        <v>0</v>
      </c>
      <c r="J75" s="3">
        <f>IF(G75-INT(G75)&lt;&gt;0,RIGHT(H75,2),)</f>
        <v>0</v>
      </c>
      <c r="M75" s="1"/>
    </row>
    <row r="76" spans="1:13" ht="23.25">
      <c r="A76" s="1">
        <f>74105+81145+77625+79815+79815+79815+81335+81335+81335+81335+81335</f>
        <v>878995</v>
      </c>
      <c r="C76" s="1" t="str">
        <f t="shared" si="2"/>
        <v>878995.0</v>
      </c>
      <c r="D76" s="2">
        <f t="shared" si="4"/>
        <v>878995</v>
      </c>
      <c r="E76" s="3">
        <f t="shared" si="15"/>
        <v>0</v>
      </c>
      <c r="F76" s="7" t="s">
        <v>233</v>
      </c>
      <c r="G76" s="1">
        <v>0</v>
      </c>
      <c r="H76" s="1" t="str">
        <f t="shared" si="14"/>
        <v>.0</v>
      </c>
      <c r="I76" s="2">
        <f t="shared" si="3"/>
        <v>0</v>
      </c>
      <c r="J76" s="3">
        <f t="shared" si="16"/>
        <v>0</v>
      </c>
      <c r="M76" s="1"/>
    </row>
    <row r="77" spans="1:13" ht="23.25">
      <c r="A77" s="1">
        <f>2895671.45+3472763+3197340.18+3270240.65+3273324.82+3262980+3226173.33+3181065.81+3168113+3159291.62+3181469.01</f>
        <v>35288432.87</v>
      </c>
      <c r="C77" s="1" t="str">
        <f t="shared" si="2"/>
        <v>35288432.87</v>
      </c>
      <c r="D77" s="2">
        <f t="shared" si="4"/>
        <v>35288432</v>
      </c>
      <c r="E77" s="3" t="str">
        <f t="shared" si="15"/>
        <v>87</v>
      </c>
      <c r="F77" s="7" t="s">
        <v>234</v>
      </c>
      <c r="G77" s="1">
        <v>0</v>
      </c>
      <c r="H77" s="1" t="str">
        <f t="shared" si="14"/>
        <v>.0</v>
      </c>
      <c r="I77" s="2">
        <f t="shared" si="3"/>
        <v>0</v>
      </c>
      <c r="J77" s="3">
        <f t="shared" si="16"/>
        <v>0</v>
      </c>
      <c r="M77" s="1"/>
    </row>
    <row r="78" spans="1:13" ht="23.25">
      <c r="A78" s="1">
        <f>144120+186420+230045+197432+180880+219415.75+155419.68+225085+264746.75+141700+275270+345487.5</f>
        <v>2566021.6799999997</v>
      </c>
      <c r="C78" s="1" t="str">
        <f t="shared" si="2"/>
        <v>2566021.68</v>
      </c>
      <c r="D78" s="2">
        <f t="shared" si="4"/>
        <v>2566021</v>
      </c>
      <c r="E78" s="3" t="str">
        <f t="shared" si="15"/>
        <v>68</v>
      </c>
      <c r="F78" s="7" t="s">
        <v>15</v>
      </c>
      <c r="G78" s="1">
        <f>288687.5+56800</f>
        <v>345487.5</v>
      </c>
      <c r="H78" s="1" t="str">
        <f t="shared" si="14"/>
        <v>345487.50</v>
      </c>
      <c r="I78" s="2">
        <f t="shared" si="3"/>
        <v>345487</v>
      </c>
      <c r="J78" s="3" t="str">
        <f t="shared" si="16"/>
        <v>50</v>
      </c>
      <c r="M78" s="1"/>
    </row>
    <row r="79" spans="1:13" ht="23.25">
      <c r="A79" s="1">
        <f>161581+1251732.67+2793408.19+2527748.31+2646272+4097512.73+1631999.4+1880073.41+2430340.7+1611690.22+1597437.34+4015313.79</f>
        <v>26645109.759999998</v>
      </c>
      <c r="C79" s="1" t="str">
        <f t="shared" si="2"/>
        <v>26645109.76</v>
      </c>
      <c r="D79" s="2">
        <f t="shared" si="4"/>
        <v>26645109</v>
      </c>
      <c r="E79" s="3" t="str">
        <f t="shared" si="15"/>
        <v>76</v>
      </c>
      <c r="F79" s="7" t="s">
        <v>16</v>
      </c>
      <c r="G79" s="1">
        <f>3668263.79+268850+78200</f>
        <v>4015313.79</v>
      </c>
      <c r="H79" s="1" t="str">
        <f t="shared" si="14"/>
        <v>4015313.79</v>
      </c>
      <c r="I79" s="2">
        <f t="shared" si="3"/>
        <v>4015313</v>
      </c>
      <c r="J79" s="3" t="str">
        <f t="shared" si="16"/>
        <v>79</v>
      </c>
      <c r="M79" s="1"/>
    </row>
    <row r="80" spans="1:13" ht="23.25">
      <c r="A80" s="45">
        <f>308370.6+731821.7+707028.38+614367.75+1218966.09+795165.16+545808.82+1319214.47+407359.79+237467+2302241.15</f>
        <v>9187810.91</v>
      </c>
      <c r="B80" s="45"/>
      <c r="C80" s="1" t="str">
        <f t="shared" si="2"/>
        <v>9187810.91</v>
      </c>
      <c r="D80" s="2">
        <f t="shared" si="4"/>
        <v>9187810</v>
      </c>
      <c r="E80" s="3" t="str">
        <f t="shared" si="15"/>
        <v>91</v>
      </c>
      <c r="F80" s="7" t="s">
        <v>17</v>
      </c>
      <c r="G80" s="1">
        <v>2302241.15</v>
      </c>
      <c r="H80" s="1" t="str">
        <f t="shared" si="14"/>
        <v>2302241.15</v>
      </c>
      <c r="I80" s="2">
        <f t="shared" si="3"/>
        <v>2302241</v>
      </c>
      <c r="J80" s="3" t="str">
        <f t="shared" si="16"/>
        <v>15</v>
      </c>
      <c r="M80" s="1"/>
    </row>
    <row r="81" spans="1:13" ht="23.25">
      <c r="A81" s="1">
        <f>137873.39+168338.16+197623.94+200027.82+132407.84+195711.61+187142.14+299656.21+244038.02+224856.92+5517.86+466921.06</f>
        <v>2460114.9699999997</v>
      </c>
      <c r="C81" s="1" t="str">
        <f t="shared" si="2"/>
        <v>2460114.97</v>
      </c>
      <c r="D81" s="2">
        <f t="shared" si="4"/>
        <v>2460114</v>
      </c>
      <c r="E81" s="3" t="str">
        <f t="shared" si="15"/>
        <v>97</v>
      </c>
      <c r="F81" s="7" t="s">
        <v>18</v>
      </c>
      <c r="G81" s="1">
        <v>466921.06</v>
      </c>
      <c r="H81" s="1" t="str">
        <f t="shared" si="14"/>
        <v>466921.06</v>
      </c>
      <c r="I81" s="2">
        <f t="shared" si="3"/>
        <v>466921</v>
      </c>
      <c r="J81" s="3" t="str">
        <f t="shared" si="16"/>
        <v>06</v>
      </c>
      <c r="L81" s="122"/>
      <c r="M81" s="1"/>
    </row>
    <row r="82" spans="1:13" ht="23.25">
      <c r="A82" s="1">
        <f>286402+702174.85+338188.32+9229734.95+395919+1452930.68+320905+309536.4+300252.5+2145500+974260.1</f>
        <v>16455803.799999999</v>
      </c>
      <c r="C82" s="1" t="str">
        <f t="shared" si="2"/>
        <v>16455803.80</v>
      </c>
      <c r="D82" s="2">
        <f t="shared" si="4"/>
        <v>16455803</v>
      </c>
      <c r="E82" s="3" t="str">
        <f t="shared" si="15"/>
        <v>80</v>
      </c>
      <c r="F82" s="7" t="s">
        <v>19</v>
      </c>
      <c r="G82" s="1">
        <f>847460.1+126800</f>
        <v>974260.1</v>
      </c>
      <c r="H82" s="1" t="str">
        <f t="shared" si="14"/>
        <v>974260.10</v>
      </c>
      <c r="I82" s="2">
        <f t="shared" si="3"/>
        <v>974260</v>
      </c>
      <c r="J82" s="3" t="str">
        <f t="shared" si="16"/>
        <v>10</v>
      </c>
      <c r="M82" s="1"/>
    </row>
    <row r="83" spans="1:13" ht="23.25">
      <c r="A83" s="1">
        <f>2663000+3269500+8339000+1049577+3342700+2706800+1772900+2860200+5894700</f>
        <v>31898377</v>
      </c>
      <c r="C83" s="1" t="str">
        <f t="shared" si="2"/>
        <v>31898377.0</v>
      </c>
      <c r="D83" s="2">
        <f t="shared" si="4"/>
        <v>31898377</v>
      </c>
      <c r="E83" s="3">
        <f t="shared" si="15"/>
        <v>0</v>
      </c>
      <c r="F83" s="7" t="s">
        <v>20</v>
      </c>
      <c r="G83" s="1">
        <f>1074700+4820000</f>
        <v>5894700</v>
      </c>
      <c r="H83" s="1" t="str">
        <f t="shared" si="14"/>
        <v>5894700.0</v>
      </c>
      <c r="I83" s="2">
        <f t="shared" si="3"/>
        <v>5894700</v>
      </c>
      <c r="J83" s="3">
        <f t="shared" si="16"/>
        <v>0</v>
      </c>
      <c r="L83" s="122"/>
      <c r="M83" s="1"/>
    </row>
    <row r="84" spans="1:13" ht="23.25">
      <c r="A84" s="55">
        <f>10000+643000+50000+90000+650000+850000+944000+285000</f>
        <v>3522000</v>
      </c>
      <c r="B84" s="55">
        <f>SUM(A73:A84)</f>
        <v>166793009.83999997</v>
      </c>
      <c r="C84" s="1" t="str">
        <f t="shared" si="2"/>
        <v>3522000.0</v>
      </c>
      <c r="D84" s="2">
        <f t="shared" si="4"/>
        <v>3522000</v>
      </c>
      <c r="E84" s="3">
        <f t="shared" si="15"/>
        <v>0</v>
      </c>
      <c r="F84" s="7" t="s">
        <v>10</v>
      </c>
      <c r="H84" s="1" t="str">
        <f t="shared" si="14"/>
        <v>.0</v>
      </c>
      <c r="I84" s="2">
        <f t="shared" si="3"/>
        <v>0</v>
      </c>
      <c r="J84" s="3">
        <f t="shared" si="16"/>
        <v>0</v>
      </c>
      <c r="L84" s="122"/>
      <c r="M84" s="1"/>
    </row>
    <row r="85" spans="1:13" ht="23.25">
      <c r="A85" s="55"/>
      <c r="B85" s="55"/>
      <c r="C85" s="1" t="str">
        <f>TEXT(A85,"#.#0")</f>
        <v>.0</v>
      </c>
      <c r="D85" s="2">
        <f t="shared" si="4"/>
        <v>0</v>
      </c>
      <c r="E85" s="3">
        <f>IF(A85-INT(A85)&lt;&gt;0,RIGHT(C85,2),)</f>
        <v>0</v>
      </c>
      <c r="F85" s="7" t="s">
        <v>193</v>
      </c>
      <c r="H85" s="1" t="str">
        <f t="shared" si="14"/>
        <v>.0</v>
      </c>
      <c r="I85" s="2">
        <f t="shared" si="3"/>
        <v>0</v>
      </c>
      <c r="J85" s="3">
        <f>IF(G85-INT(G85)&lt;&gt;0,RIGHT(H85,2),)</f>
        <v>0</v>
      </c>
      <c r="L85" s="122">
        <f>SUM(G73:G84)</f>
        <v>17079175.560000002</v>
      </c>
      <c r="M85" s="1"/>
    </row>
    <row r="86" spans="3:13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147</v>
      </c>
      <c r="H86" s="1" t="str">
        <f t="shared" si="14"/>
        <v>.0</v>
      </c>
      <c r="I86" s="2">
        <f t="shared" si="3"/>
        <v>0</v>
      </c>
      <c r="J86" s="3">
        <f>IF(G86-INT(G86)&lt;&gt;0,RIGHT(H86,2),)</f>
        <v>0</v>
      </c>
      <c r="M86" s="1"/>
    </row>
    <row r="87" spans="1:13" ht="23.25">
      <c r="A87" s="1">
        <f>108146+784100+1043610+481708+1760830+399850+688330+747922+253700+434022+295250+327950</f>
        <v>7325418</v>
      </c>
      <c r="C87" s="1" t="str">
        <f t="shared" si="2"/>
        <v>7325418.0</v>
      </c>
      <c r="D87" s="2">
        <f t="shared" si="4"/>
        <v>7325418</v>
      </c>
      <c r="E87" s="3">
        <f t="shared" si="15"/>
        <v>0</v>
      </c>
      <c r="F87" s="7" t="s">
        <v>80</v>
      </c>
      <c r="G87" s="114">
        <v>327950</v>
      </c>
      <c r="H87" s="1" t="str">
        <f t="shared" si="14"/>
        <v>327950.0</v>
      </c>
      <c r="I87" s="2">
        <f t="shared" si="3"/>
        <v>327950</v>
      </c>
      <c r="J87" s="3">
        <f t="shared" si="16"/>
        <v>0</v>
      </c>
      <c r="M87" s="1"/>
    </row>
    <row r="88" spans="1:13" ht="23.25">
      <c r="A88" s="1">
        <f>2336900+2322400+2374860+1997880+2250700+2229500+2219600+2213500+190800</f>
        <v>18136140</v>
      </c>
      <c r="C88" s="1" t="str">
        <f t="shared" si="2"/>
        <v>18136140.0</v>
      </c>
      <c r="D88" s="2">
        <f t="shared" si="4"/>
        <v>18136140</v>
      </c>
      <c r="E88" s="3">
        <f t="shared" si="15"/>
        <v>0</v>
      </c>
      <c r="F88" s="7" t="s">
        <v>79</v>
      </c>
      <c r="G88" s="1">
        <v>190800</v>
      </c>
      <c r="H88" s="1" t="str">
        <f t="shared" si="14"/>
        <v>190800.0</v>
      </c>
      <c r="I88" s="2">
        <f t="shared" si="3"/>
        <v>190800</v>
      </c>
      <c r="J88" s="3">
        <f t="shared" si="16"/>
        <v>0</v>
      </c>
      <c r="M88" s="1"/>
    </row>
    <row r="89" spans="3:10" ht="23.25">
      <c r="C89" s="1" t="str">
        <f t="shared" si="2"/>
        <v>.0</v>
      </c>
      <c r="D89" s="2">
        <f t="shared" si="4"/>
        <v>0</v>
      </c>
      <c r="E89" s="3">
        <f t="shared" si="15"/>
        <v>0</v>
      </c>
      <c r="F89" s="7" t="s">
        <v>126</v>
      </c>
      <c r="H89" s="1" t="str">
        <f t="shared" si="14"/>
        <v>.0</v>
      </c>
      <c r="I89" s="2">
        <f t="shared" si="3"/>
        <v>0</v>
      </c>
      <c r="J89" s="3">
        <f aca="true" t="shared" si="17" ref="J89:J98">IF(G89-INT(G89)&lt;&gt;0,RIGHT(H89,2),)</f>
        <v>0</v>
      </c>
    </row>
    <row r="90" spans="1:10" ht="23.25">
      <c r="A90" s="1">
        <f>32200+6800+6000+6000+6000</f>
        <v>57000</v>
      </c>
      <c r="C90" s="1" t="str">
        <f>TEXT(A90,"#.#0")</f>
        <v>57000.0</v>
      </c>
      <c r="D90" s="2">
        <f t="shared" si="4"/>
        <v>57000</v>
      </c>
      <c r="E90" s="3">
        <f>IF(A90-INT(A90)&lt;&gt;0,RIGHT(C90,2),)</f>
        <v>0</v>
      </c>
      <c r="F90" s="7" t="s">
        <v>258</v>
      </c>
      <c r="G90" s="1">
        <v>6000</v>
      </c>
      <c r="H90" s="1" t="str">
        <f t="shared" si="14"/>
        <v>6000.0</v>
      </c>
      <c r="I90" s="2">
        <f t="shared" si="3"/>
        <v>6000</v>
      </c>
      <c r="J90" s="3">
        <f t="shared" si="17"/>
        <v>0</v>
      </c>
    </row>
    <row r="91" spans="1:10" ht="23.25">
      <c r="A91" s="1">
        <v>15000</v>
      </c>
      <c r="C91" s="1" t="str">
        <f>TEXT(A91,"#.#0")</f>
        <v>15000.0</v>
      </c>
      <c r="D91" s="2">
        <f t="shared" si="4"/>
        <v>15000</v>
      </c>
      <c r="E91" s="3">
        <f>IF(A91-INT(A91)&lt;&gt;0,RIGHT(C91,2),)</f>
        <v>0</v>
      </c>
      <c r="F91" s="178" t="s">
        <v>377</v>
      </c>
      <c r="G91" s="1">
        <v>0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1:10" ht="23.25">
      <c r="A92" s="1">
        <v>10200</v>
      </c>
      <c r="C92" s="1" t="str">
        <f>TEXT(A92,"#.#0")</f>
        <v>10200.0</v>
      </c>
      <c r="D92" s="2">
        <f t="shared" si="4"/>
        <v>10200</v>
      </c>
      <c r="E92" s="3">
        <f>IF(A92-INT(A92)&lt;&gt;0,RIGHT(C92,2),)</f>
        <v>0</v>
      </c>
      <c r="F92" s="178" t="s">
        <v>378</v>
      </c>
      <c r="G92" s="1">
        <v>0</v>
      </c>
      <c r="H92" s="1" t="str">
        <f t="shared" si="14"/>
        <v>.0</v>
      </c>
      <c r="I92" s="2">
        <f t="shared" si="3"/>
        <v>0</v>
      </c>
      <c r="J92" s="3">
        <f t="shared" si="17"/>
        <v>0</v>
      </c>
    </row>
    <row r="93" spans="1:10" ht="23.25">
      <c r="A93" s="1">
        <v>7200</v>
      </c>
      <c r="C93" s="1" t="str">
        <f>TEXT(A93,"#.#0")</f>
        <v>7200.0</v>
      </c>
      <c r="D93" s="2">
        <f t="shared" si="4"/>
        <v>7200</v>
      </c>
      <c r="E93" s="3">
        <f>IF(A93-INT(A93)&lt;&gt;0,RIGHT(C93,2),)</f>
        <v>0</v>
      </c>
      <c r="F93" s="178" t="s">
        <v>391</v>
      </c>
      <c r="G93" s="1">
        <v>7200</v>
      </c>
      <c r="H93" s="1" t="str">
        <f t="shared" si="14"/>
        <v>7200.0</v>
      </c>
      <c r="I93" s="2">
        <f t="shared" si="3"/>
        <v>7200</v>
      </c>
      <c r="J93" s="3"/>
    </row>
    <row r="94" spans="3:10" ht="23.25">
      <c r="C94" s="1" t="str">
        <f t="shared" si="2"/>
        <v>.0</v>
      </c>
      <c r="D94" s="2">
        <f t="shared" si="4"/>
        <v>0</v>
      </c>
      <c r="E94" s="3">
        <f t="shared" si="15"/>
        <v>0</v>
      </c>
      <c r="F94" s="7" t="s">
        <v>135</v>
      </c>
      <c r="H94" s="1" t="str">
        <f t="shared" si="14"/>
        <v>.0</v>
      </c>
      <c r="I94" s="2">
        <f t="shared" si="3"/>
        <v>0</v>
      </c>
      <c r="J94" s="3">
        <f t="shared" si="17"/>
        <v>0</v>
      </c>
    </row>
    <row r="95" spans="3:10" ht="23.25">
      <c r="C95" s="1" t="str">
        <f t="shared" si="2"/>
        <v>.0</v>
      </c>
      <c r="D95" s="2">
        <f t="shared" si="4"/>
        <v>0</v>
      </c>
      <c r="E95" s="3">
        <f t="shared" si="15"/>
        <v>0</v>
      </c>
      <c r="F95" s="7" t="s">
        <v>136</v>
      </c>
      <c r="H95" s="1" t="str">
        <f t="shared" si="14"/>
        <v>.0</v>
      </c>
      <c r="I95" s="2">
        <f t="shared" si="3"/>
        <v>0</v>
      </c>
      <c r="J95" s="3">
        <f t="shared" si="17"/>
        <v>0</v>
      </c>
    </row>
    <row r="96" spans="1:10" ht="23.25">
      <c r="A96" s="1">
        <v>4539616.21</v>
      </c>
      <c r="C96" s="1" t="str">
        <f>TEXT(A96,"#.#0")</f>
        <v>4539616.21</v>
      </c>
      <c r="D96" s="2">
        <f>INT(C96)</f>
        <v>4539616</v>
      </c>
      <c r="E96" s="3" t="str">
        <f t="shared" si="15"/>
        <v>21</v>
      </c>
      <c r="F96" s="7" t="s">
        <v>134</v>
      </c>
      <c r="G96" s="1">
        <v>4539616.21</v>
      </c>
      <c r="H96" s="1" t="str">
        <f>TEXT(G96,"#.#0")</f>
        <v>4539616.21</v>
      </c>
      <c r="I96" s="2">
        <f>INT(H96)</f>
        <v>4539616</v>
      </c>
      <c r="J96" s="3" t="str">
        <f t="shared" si="17"/>
        <v>21</v>
      </c>
    </row>
    <row r="97" spans="1:10" ht="23.25">
      <c r="A97" s="1">
        <v>1772146.48</v>
      </c>
      <c r="C97" s="1" t="str">
        <f>TEXT(A97,"#.#0")</f>
        <v>1772146.48</v>
      </c>
      <c r="D97" s="2">
        <f>INT(C97)</f>
        <v>1772146</v>
      </c>
      <c r="E97" s="3" t="str">
        <f>IF(A97-INT(A97)&lt;&gt;0,RIGHT(C97,2),)</f>
        <v>48</v>
      </c>
      <c r="F97" s="7" t="s">
        <v>130</v>
      </c>
      <c r="G97" s="1">
        <v>1772146.48</v>
      </c>
      <c r="H97" s="1" t="str">
        <f>TEXT(G97,"#.#0")</f>
        <v>1772146.48</v>
      </c>
      <c r="I97" s="2">
        <f>INT(H97)</f>
        <v>1772146</v>
      </c>
      <c r="J97" s="3" t="str">
        <f t="shared" si="17"/>
        <v>48</v>
      </c>
    </row>
    <row r="98" spans="1:10" ht="23.25">
      <c r="A98" s="1">
        <v>0</v>
      </c>
      <c r="C98" s="1" t="str">
        <f>TEXT(A98,"#.#0")</f>
        <v>.0</v>
      </c>
      <c r="D98" s="2">
        <f>INT(C98)</f>
        <v>0</v>
      </c>
      <c r="E98" s="3">
        <f>IF(A98-INT(A98)&lt;&gt;0,RIGHT(C98,2),)</f>
        <v>0</v>
      </c>
      <c r="F98" s="7" t="s">
        <v>387</v>
      </c>
      <c r="G98" s="1">
        <v>0</v>
      </c>
      <c r="H98" s="1" t="str">
        <f>TEXT(G98,"#.#0")</f>
        <v>.0</v>
      </c>
      <c r="I98" s="2">
        <f>INT(H98)</f>
        <v>0</v>
      </c>
      <c r="J98" s="3">
        <f t="shared" si="17"/>
        <v>0</v>
      </c>
    </row>
    <row r="99" spans="1:10" ht="23.25">
      <c r="A99" s="1">
        <v>223200</v>
      </c>
      <c r="C99" s="1" t="str">
        <f t="shared" si="2"/>
        <v>223200.0</v>
      </c>
      <c r="D99" s="2">
        <f t="shared" si="4"/>
        <v>223200</v>
      </c>
      <c r="E99" s="3">
        <f t="shared" si="15"/>
        <v>0</v>
      </c>
      <c r="F99" s="7" t="s">
        <v>96</v>
      </c>
      <c r="G99" s="1">
        <v>0</v>
      </c>
      <c r="H99" s="1" t="str">
        <f t="shared" si="14"/>
        <v>.0</v>
      </c>
      <c r="I99" s="2">
        <f t="shared" si="3"/>
        <v>0</v>
      </c>
      <c r="J99" s="3">
        <f t="shared" si="16"/>
        <v>0</v>
      </c>
    </row>
    <row r="100" spans="1:10" ht="23.25">
      <c r="A100" s="1">
        <f>1935000+219500+1663750.8+3780413.32+103835.88</f>
        <v>7702499.999999999</v>
      </c>
      <c r="C100" s="1" t="str">
        <f t="shared" si="2"/>
        <v>7702500.0</v>
      </c>
      <c r="D100" s="2">
        <f t="shared" si="4"/>
        <v>7702500</v>
      </c>
      <c r="E100" s="3" t="str">
        <f t="shared" si="15"/>
        <v>.0</v>
      </c>
      <c r="F100" s="7" t="s">
        <v>21</v>
      </c>
      <c r="G100" s="1">
        <v>103835.88</v>
      </c>
      <c r="H100" s="1" t="str">
        <f t="shared" si="14"/>
        <v>103835.88</v>
      </c>
      <c r="I100" s="2">
        <f t="shared" si="3"/>
        <v>103835</v>
      </c>
      <c r="J100" s="3" t="str">
        <f t="shared" si="16"/>
        <v>88</v>
      </c>
    </row>
    <row r="101" spans="1:10" ht="23.25">
      <c r="A101" s="1">
        <f>2917110.56+82889.44</f>
        <v>3000000</v>
      </c>
      <c r="C101" s="1" t="str">
        <f t="shared" si="2"/>
        <v>3000000.0</v>
      </c>
      <c r="D101" s="2">
        <f t="shared" si="4"/>
        <v>3000000</v>
      </c>
      <c r="E101" s="3">
        <f t="shared" si="15"/>
        <v>0</v>
      </c>
      <c r="F101" s="7" t="s">
        <v>246</v>
      </c>
      <c r="G101" s="1">
        <v>82889.44</v>
      </c>
      <c r="H101" s="1" t="str">
        <f t="shared" si="14"/>
        <v>82889.44</v>
      </c>
      <c r="I101" s="2">
        <f t="shared" si="3"/>
        <v>82889</v>
      </c>
      <c r="J101" s="3" t="str">
        <f t="shared" si="16"/>
        <v>44</v>
      </c>
    </row>
    <row r="102" spans="3:10" ht="23.25">
      <c r="C102" s="1" t="str">
        <f t="shared" si="2"/>
        <v>.0</v>
      </c>
      <c r="D102" s="2">
        <f t="shared" si="4"/>
        <v>0</v>
      </c>
      <c r="E102" s="3">
        <f t="shared" si="15"/>
        <v>0</v>
      </c>
      <c r="F102" s="7" t="s">
        <v>87</v>
      </c>
      <c r="H102" s="1" t="str">
        <f t="shared" si="14"/>
        <v>.0</v>
      </c>
      <c r="I102" s="2">
        <f t="shared" si="3"/>
        <v>0</v>
      </c>
      <c r="J102" s="3">
        <f>IF(G102-INT(G102)&lt;&gt;0,RIGHT(H102,2),)</f>
        <v>0</v>
      </c>
    </row>
    <row r="103" spans="1:11" ht="23.25">
      <c r="A103" s="1">
        <f>1020400.54+850666.27+1092729.53+1112291.14+2637327+2510247.5+1787354.41+1476007.17+1966795.39+959192.28+970436.16+685352.19</f>
        <v>17068799.580000002</v>
      </c>
      <c r="C103" s="1" t="str">
        <f t="shared" si="2"/>
        <v>17068799.58</v>
      </c>
      <c r="D103" s="2">
        <f t="shared" si="4"/>
        <v>17068799</v>
      </c>
      <c r="E103" s="3" t="str">
        <f t="shared" si="15"/>
        <v>58</v>
      </c>
      <c r="F103" s="7" t="s">
        <v>11</v>
      </c>
      <c r="G103" s="1">
        <v>685352.19</v>
      </c>
      <c r="H103" s="1" t="str">
        <f t="shared" si="14"/>
        <v>685352.19</v>
      </c>
      <c r="I103" s="2">
        <f t="shared" si="3"/>
        <v>685352</v>
      </c>
      <c r="J103" s="3" t="str">
        <f t="shared" si="16"/>
        <v>19</v>
      </c>
      <c r="K103" t="s">
        <v>354</v>
      </c>
    </row>
    <row r="104" spans="1:10" ht="23.25">
      <c r="A104" s="1">
        <f>480008.39+1932000+1477000+499000+553192.05+1843690.41+605956.66</f>
        <v>7390847.510000001</v>
      </c>
      <c r="C104" s="1" t="str">
        <f t="shared" si="2"/>
        <v>7390847.51</v>
      </c>
      <c r="D104" s="2">
        <f t="shared" si="4"/>
        <v>7390847</v>
      </c>
      <c r="E104" s="3" t="str">
        <f t="shared" si="15"/>
        <v>51</v>
      </c>
      <c r="F104" s="7" t="s">
        <v>12</v>
      </c>
      <c r="G104" s="1">
        <v>605956.66</v>
      </c>
      <c r="H104" s="1" t="str">
        <f t="shared" si="14"/>
        <v>605956.66</v>
      </c>
      <c r="I104" s="2">
        <f t="shared" si="3"/>
        <v>605956</v>
      </c>
      <c r="J104" s="3" t="str">
        <f t="shared" si="16"/>
        <v>66</v>
      </c>
    </row>
    <row r="105" spans="1:10" ht="23.25">
      <c r="A105" s="1">
        <f>1270817.61+4797000.7</f>
        <v>6067818.3100000005</v>
      </c>
      <c r="C105" s="1" t="str">
        <f t="shared" si="2"/>
        <v>6067818.31</v>
      </c>
      <c r="D105" s="2">
        <f t="shared" si="4"/>
        <v>6067818</v>
      </c>
      <c r="E105" s="3" t="str">
        <f t="shared" si="15"/>
        <v>31</v>
      </c>
      <c r="F105" s="7" t="s">
        <v>376</v>
      </c>
      <c r="G105" s="1">
        <v>4797000.7</v>
      </c>
      <c r="H105" s="1" t="str">
        <f t="shared" si="14"/>
        <v>4797000.70</v>
      </c>
      <c r="I105" s="2">
        <f t="shared" si="3"/>
        <v>4797000</v>
      </c>
      <c r="J105" s="3" t="str">
        <f t="shared" si="16"/>
        <v>70</v>
      </c>
    </row>
    <row r="106" spans="1:10" ht="23.25">
      <c r="A106" s="1">
        <v>628338.81</v>
      </c>
      <c r="C106" s="1" t="str">
        <f t="shared" si="2"/>
        <v>628338.81</v>
      </c>
      <c r="D106" s="2">
        <f t="shared" si="4"/>
        <v>628338</v>
      </c>
      <c r="E106" s="3" t="str">
        <f t="shared" si="15"/>
        <v>81</v>
      </c>
      <c r="F106" s="7" t="s">
        <v>256</v>
      </c>
      <c r="H106" s="1" t="str">
        <f t="shared" si="14"/>
        <v>.0</v>
      </c>
      <c r="I106" s="2">
        <f t="shared" si="3"/>
        <v>0</v>
      </c>
      <c r="J106" s="3">
        <f t="shared" si="16"/>
        <v>0</v>
      </c>
    </row>
    <row r="107" spans="1:10" ht="23.25">
      <c r="A107" s="1">
        <f>125363+8400</f>
        <v>133763</v>
      </c>
      <c r="C107" s="1" t="str">
        <f>TEXT(A107,"#.#0")</f>
        <v>133763.0</v>
      </c>
      <c r="D107" s="2">
        <f t="shared" si="4"/>
        <v>133763</v>
      </c>
      <c r="E107" s="3">
        <f>IF(A107-INT(A107)&lt;&gt;0,RIGHT(C107,2),)</f>
        <v>0</v>
      </c>
      <c r="F107" s="7" t="s">
        <v>187</v>
      </c>
      <c r="H107" s="1" t="str">
        <f t="shared" si="14"/>
        <v>.0</v>
      </c>
      <c r="I107" s="2">
        <f t="shared" si="3"/>
        <v>0</v>
      </c>
      <c r="J107" s="3">
        <f>IF(G107-INT(G107)&lt;&gt;0,RIGHT(H107,2),)</f>
        <v>0</v>
      </c>
    </row>
    <row r="108" spans="1:10" ht="23.25">
      <c r="A108" s="1">
        <v>1553000</v>
      </c>
      <c r="C108" s="1" t="str">
        <f t="shared" si="2"/>
        <v>1553000.0</v>
      </c>
      <c r="D108" s="2">
        <f t="shared" si="4"/>
        <v>1553000</v>
      </c>
      <c r="E108" s="3">
        <f t="shared" si="15"/>
        <v>0</v>
      </c>
      <c r="F108" s="7" t="s">
        <v>169</v>
      </c>
      <c r="H108" s="1" t="str">
        <f t="shared" si="14"/>
        <v>.0</v>
      </c>
      <c r="I108" s="2">
        <f t="shared" si="3"/>
        <v>0</v>
      </c>
      <c r="J108" s="3">
        <f t="shared" si="16"/>
        <v>0</v>
      </c>
    </row>
    <row r="109" spans="1:10" ht="23.25">
      <c r="A109" s="1">
        <v>43000</v>
      </c>
      <c r="C109" s="1" t="str">
        <f>TEXT(A109,"#.#0")</f>
        <v>43000.0</v>
      </c>
      <c r="D109" s="2">
        <f t="shared" si="4"/>
        <v>43000</v>
      </c>
      <c r="E109" s="3">
        <f>IF(A109-INT(A109)&lt;&gt;0,RIGHT(C109,2),)</f>
        <v>0</v>
      </c>
      <c r="F109" s="7" t="s">
        <v>198</v>
      </c>
      <c r="H109" s="1" t="str">
        <f t="shared" si="14"/>
        <v>.0</v>
      </c>
      <c r="I109" s="2">
        <f t="shared" si="3"/>
        <v>0</v>
      </c>
      <c r="J109" s="3">
        <f>IF(G109-INT(G109)&lt;&gt;0,RIGHT(H109,2),)</f>
        <v>0</v>
      </c>
    </row>
    <row r="110" spans="3:10" ht="23.25">
      <c r="C110" s="1" t="str">
        <f t="shared" si="2"/>
        <v>.0</v>
      </c>
      <c r="D110" s="2">
        <f t="shared" si="4"/>
        <v>0</v>
      </c>
      <c r="E110" s="3">
        <f t="shared" si="15"/>
        <v>0</v>
      </c>
      <c r="F110" s="7" t="s">
        <v>170</v>
      </c>
      <c r="H110" s="1" t="str">
        <f t="shared" si="14"/>
        <v>.0</v>
      </c>
      <c r="I110" s="2">
        <f t="shared" si="3"/>
        <v>0</v>
      </c>
      <c r="J110" s="3">
        <f t="shared" si="16"/>
        <v>0</v>
      </c>
    </row>
    <row r="111" spans="1:11" ht="23.25">
      <c r="A111" s="1">
        <f>3937800+1994800+3926400+5500+3815300+2100+3780100+1886200+1913600+1920400</f>
        <v>23182200</v>
      </c>
      <c r="C111" s="1" t="str">
        <f>TEXT(A111,"#.#0")</f>
        <v>23182200.0</v>
      </c>
      <c r="D111" s="2">
        <f t="shared" si="4"/>
        <v>23182200</v>
      </c>
      <c r="E111" s="3">
        <f>IF(A111-INT(A111)&lt;&gt;0,RIGHT(C111,2),)</f>
        <v>0</v>
      </c>
      <c r="F111" s="8" t="s">
        <v>277</v>
      </c>
      <c r="G111" s="1">
        <v>1920400</v>
      </c>
      <c r="H111" s="1" t="str">
        <f t="shared" si="14"/>
        <v>1920400.0</v>
      </c>
      <c r="I111" s="2">
        <f t="shared" si="3"/>
        <v>1920400</v>
      </c>
      <c r="J111" s="3">
        <f t="shared" si="16"/>
        <v>0</v>
      </c>
      <c r="K111" t="s">
        <v>353</v>
      </c>
    </row>
    <row r="112" spans="1:10" ht="23.25">
      <c r="A112" s="1">
        <f>647200+324000+638400+319200+304800+3200+608800+306400+308000+409600</f>
        <v>3869600</v>
      </c>
      <c r="C112" s="1" t="str">
        <f>TEXT(A112,"#.#0")</f>
        <v>3869600.0</v>
      </c>
      <c r="D112" s="2">
        <f t="shared" si="4"/>
        <v>3869600</v>
      </c>
      <c r="E112" s="3">
        <f>IF(A112-INT(A112)&lt;&gt;0,RIGHT(C112,2),)</f>
        <v>0</v>
      </c>
      <c r="F112" s="8" t="s">
        <v>278</v>
      </c>
      <c r="G112" s="1">
        <v>409600</v>
      </c>
      <c r="H112" s="1" t="str">
        <f t="shared" si="14"/>
        <v>409600.0</v>
      </c>
      <c r="I112" s="2">
        <f t="shared" si="3"/>
        <v>409600</v>
      </c>
      <c r="J112" s="3">
        <f>IF(G112-INT(G112)&lt;&gt;0,RIGHT(H112,2),)</f>
        <v>0</v>
      </c>
    </row>
    <row r="113" spans="1:10" ht="23.25">
      <c r="A113" s="1">
        <f>74760+37380+74760+108550+68710+68710+68710+68710+62580</f>
        <v>632870</v>
      </c>
      <c r="C113" s="1" t="str">
        <f t="shared" si="2"/>
        <v>632870.0</v>
      </c>
      <c r="D113" s="2">
        <f t="shared" si="4"/>
        <v>632870</v>
      </c>
      <c r="E113" s="3">
        <f t="shared" si="15"/>
        <v>0</v>
      </c>
      <c r="F113" s="8" t="s">
        <v>279</v>
      </c>
      <c r="G113" s="1">
        <v>62580</v>
      </c>
      <c r="H113" s="1" t="str">
        <f t="shared" si="14"/>
        <v>62580.0</v>
      </c>
      <c r="I113" s="2">
        <f t="shared" si="3"/>
        <v>62580</v>
      </c>
      <c r="J113" s="3">
        <f>IF(G113-INT(G113)&lt;&gt;0,RIGHT(H113,2),)</f>
        <v>0</v>
      </c>
    </row>
    <row r="114" spans="1:10" ht="23.25">
      <c r="A114" s="1">
        <f>75200+37600+54500+75200+37600+9400+9400+9400+9400+27593.54+34330</f>
        <v>379623.54</v>
      </c>
      <c r="C114" s="1" t="str">
        <f t="shared" si="2"/>
        <v>379623.54</v>
      </c>
      <c r="D114" s="2">
        <f t="shared" si="4"/>
        <v>379623</v>
      </c>
      <c r="E114" s="3" t="str">
        <f t="shared" si="15"/>
        <v>54</v>
      </c>
      <c r="F114" s="8" t="s">
        <v>280</v>
      </c>
      <c r="G114" s="1">
        <v>34330</v>
      </c>
      <c r="H114" s="1" t="str">
        <f t="shared" si="14"/>
        <v>34330.0</v>
      </c>
      <c r="I114" s="2">
        <f t="shared" si="3"/>
        <v>34330</v>
      </c>
      <c r="J114" s="3">
        <f>IF(G114-INT(G114)&lt;&gt;0,RIGHT(H114,2),)</f>
        <v>0</v>
      </c>
    </row>
    <row r="115" spans="1:10" ht="23.25">
      <c r="A115" s="1">
        <f>4560+2280+2725+2280+2280+2280+570+570+570+570+3384</f>
        <v>22069</v>
      </c>
      <c r="C115" s="1" t="str">
        <f t="shared" si="2"/>
        <v>22069.0</v>
      </c>
      <c r="D115" s="2">
        <f t="shared" si="4"/>
        <v>22069</v>
      </c>
      <c r="E115" s="3">
        <f t="shared" si="15"/>
        <v>0</v>
      </c>
      <c r="F115" s="7" t="s">
        <v>281</v>
      </c>
      <c r="G115" s="1">
        <v>3384</v>
      </c>
      <c r="H115" s="1" t="str">
        <f t="shared" si="14"/>
        <v>3384.0</v>
      </c>
      <c r="I115" s="2">
        <f t="shared" si="3"/>
        <v>3384</v>
      </c>
      <c r="J115" s="3">
        <f t="shared" si="16"/>
        <v>0</v>
      </c>
    </row>
    <row r="116" spans="1:10" ht="23.25">
      <c r="A116" s="1">
        <f>16000+8000+16000+8000+2000+2000+2000+2000+5870.96+6000</f>
        <v>67870.95999999999</v>
      </c>
      <c r="C116" s="1" t="str">
        <f>TEXT(A116,"#.#0")</f>
        <v>67870.96</v>
      </c>
      <c r="D116" s="2">
        <f t="shared" si="4"/>
        <v>67870</v>
      </c>
      <c r="E116" s="3" t="str">
        <f>IF(A116-INT(A116)&lt;&gt;0,RIGHT(C116,2),)</f>
        <v>96</v>
      </c>
      <c r="F116" s="7" t="s">
        <v>284</v>
      </c>
      <c r="G116" s="1">
        <v>6000</v>
      </c>
      <c r="H116" s="1" t="str">
        <f t="shared" si="14"/>
        <v>6000.0</v>
      </c>
      <c r="I116" s="2">
        <f t="shared" si="3"/>
        <v>6000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>TEXT(A117,"#.#0")</f>
        <v>98122.0</v>
      </c>
      <c r="D117" s="2">
        <f t="shared" si="4"/>
        <v>98122</v>
      </c>
      <c r="E117" s="3">
        <f>IF(A117-INT(A117)&lt;&gt;0,RIGHT(C117,2),)</f>
        <v>0</v>
      </c>
      <c r="F117" s="8" t="s">
        <v>285</v>
      </c>
      <c r="H117" s="1"/>
      <c r="I117" s="2"/>
      <c r="J117" s="3"/>
    </row>
    <row r="118" spans="1:10" ht="23.25">
      <c r="A118" s="1">
        <v>23024</v>
      </c>
      <c r="C118" s="1" t="str">
        <f aca="true" t="shared" si="18" ref="C118:C132">TEXT(A118,"#.#0")</f>
        <v>23024.0</v>
      </c>
      <c r="D118" s="2">
        <f aca="true" t="shared" si="19" ref="D118:D135">INT(C118)</f>
        <v>23024</v>
      </c>
      <c r="E118" s="3">
        <f aca="true" t="shared" si="20" ref="E118:E147">IF(A118-INT(A118)&lt;&gt;0,RIGHT(C118,2),)</f>
        <v>0</v>
      </c>
      <c r="F118" s="7" t="s">
        <v>306</v>
      </c>
      <c r="H118" s="1" t="str">
        <f aca="true" t="shared" si="21" ref="H118:H135">TEXT(G118,"#.#0")</f>
        <v>.0</v>
      </c>
      <c r="I118" s="2">
        <f aca="true" t="shared" si="22" ref="I118:I135">INT(H118)</f>
        <v>0</v>
      </c>
      <c r="J118" s="3">
        <f aca="true" t="shared" si="23" ref="J118:J128">IF(G118-INT(G118)&lt;&gt;0,RIGHT(H118,2),)</f>
        <v>0</v>
      </c>
    </row>
    <row r="119" spans="1:10" ht="23.25">
      <c r="A119" s="1">
        <v>460477.44</v>
      </c>
      <c r="C119" s="1" t="str">
        <f>TEXT(A119,"#.#0")</f>
        <v>460477.44</v>
      </c>
      <c r="D119" s="2">
        <f t="shared" si="19"/>
        <v>460477</v>
      </c>
      <c r="E119" s="3" t="str">
        <f>IF(A119-INT(A119)&lt;&gt;0,RIGHT(C119,2),)</f>
        <v>44</v>
      </c>
      <c r="F119" s="7" t="s">
        <v>172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6000</v>
      </c>
      <c r="C120" s="1" t="str">
        <f t="shared" si="18"/>
        <v>6000.0</v>
      </c>
      <c r="D120" s="2">
        <f t="shared" si="19"/>
        <v>6000</v>
      </c>
      <c r="E120" s="3">
        <f t="shared" si="20"/>
        <v>0</v>
      </c>
      <c r="F120" s="8" t="s">
        <v>174</v>
      </c>
      <c r="H120" s="1" t="str">
        <f t="shared" si="21"/>
        <v>.0</v>
      </c>
      <c r="I120" s="2">
        <f t="shared" si="22"/>
        <v>0</v>
      </c>
      <c r="J120" s="3">
        <f t="shared" si="23"/>
        <v>0</v>
      </c>
    </row>
    <row r="121" spans="1:10" ht="23.25">
      <c r="A121" s="1">
        <v>132620</v>
      </c>
      <c r="C121" s="1" t="str">
        <f t="shared" si="18"/>
        <v>132620.0</v>
      </c>
      <c r="D121" s="2">
        <f t="shared" si="19"/>
        <v>132620</v>
      </c>
      <c r="E121" s="3">
        <f t="shared" si="20"/>
        <v>0</v>
      </c>
      <c r="F121" s="8" t="s">
        <v>175</v>
      </c>
      <c r="H121" s="1" t="str">
        <f t="shared" si="21"/>
        <v>.0</v>
      </c>
      <c r="I121" s="2">
        <f t="shared" si="22"/>
        <v>0</v>
      </c>
      <c r="J121" s="3">
        <f t="shared" si="23"/>
        <v>0</v>
      </c>
    </row>
    <row r="122" spans="1:10" ht="23.25">
      <c r="A122" s="1">
        <v>11876</v>
      </c>
      <c r="C122" s="1" t="str">
        <f>TEXT(A122,"#.#0")</f>
        <v>11876.0</v>
      </c>
      <c r="D122" s="2">
        <f>INT(C122)</f>
        <v>11876</v>
      </c>
      <c r="E122" s="3">
        <f>IF(A122-INT(A122)&lt;&gt;0,RIGHT(C122,2),)</f>
        <v>0</v>
      </c>
      <c r="F122" s="8" t="s">
        <v>215</v>
      </c>
      <c r="H122" s="1" t="str">
        <f>TEXT(G122,"#.#0")</f>
        <v>.0</v>
      </c>
      <c r="I122" s="2">
        <f>INT(H122)</f>
        <v>0</v>
      </c>
      <c r="J122" s="3">
        <f>IF(G122-INT(G122)&lt;&gt;0,RIGHT(H122,2),)</f>
        <v>0</v>
      </c>
    </row>
    <row r="123" spans="1:10" ht="23.25">
      <c r="A123" s="1">
        <f>93108+103752</f>
        <v>196860</v>
      </c>
      <c r="C123" s="1" t="str">
        <f t="shared" si="18"/>
        <v>196860.0</v>
      </c>
      <c r="D123" s="2">
        <f t="shared" si="19"/>
        <v>196860</v>
      </c>
      <c r="E123" s="3">
        <f t="shared" si="20"/>
        <v>0</v>
      </c>
      <c r="F123" s="8" t="s">
        <v>285</v>
      </c>
      <c r="G123" s="1">
        <v>103752</v>
      </c>
      <c r="H123" s="1" t="str">
        <f t="shared" si="21"/>
        <v>103752.0</v>
      </c>
      <c r="I123" s="2">
        <f t="shared" si="22"/>
        <v>103752</v>
      </c>
      <c r="J123" s="3">
        <f t="shared" si="23"/>
        <v>0</v>
      </c>
    </row>
    <row r="124" spans="1:10" ht="23.25">
      <c r="A124" s="1">
        <v>6844</v>
      </c>
      <c r="C124" s="1" t="str">
        <f>TEXT(A124,"#.#0")</f>
        <v>6844.0</v>
      </c>
      <c r="D124" s="2">
        <f t="shared" si="19"/>
        <v>6844</v>
      </c>
      <c r="E124" s="3">
        <f>IF(A124-INT(A124)&lt;&gt;0,RIGHT(C124,2),)</f>
        <v>0</v>
      </c>
      <c r="F124" s="8" t="s">
        <v>221</v>
      </c>
      <c r="H124" s="1" t="str">
        <f t="shared" si="21"/>
        <v>.0</v>
      </c>
      <c r="I124" s="2">
        <f t="shared" si="22"/>
        <v>0</v>
      </c>
      <c r="J124" s="3">
        <f>IF(G124-INT(G124)&lt;&gt;0,RIGHT(H124,2),)</f>
        <v>0</v>
      </c>
    </row>
    <row r="125" spans="1:10" ht="23.25">
      <c r="A125" s="1">
        <v>28170</v>
      </c>
      <c r="C125" s="1" t="str">
        <f t="shared" si="18"/>
        <v>28170.0</v>
      </c>
      <c r="D125" s="2">
        <f t="shared" si="19"/>
        <v>28170</v>
      </c>
      <c r="E125" s="3">
        <f t="shared" si="20"/>
        <v>0</v>
      </c>
      <c r="F125" s="8" t="s">
        <v>177</v>
      </c>
      <c r="H125" s="1" t="str">
        <f t="shared" si="21"/>
        <v>.0</v>
      </c>
      <c r="I125" s="2">
        <f t="shared" si="22"/>
        <v>0</v>
      </c>
      <c r="J125" s="3">
        <f>IF(G125-INT(G125)&lt;&gt;0,RIGHT(H125,2),)</f>
        <v>0</v>
      </c>
    </row>
    <row r="126" spans="1:10" ht="23.25">
      <c r="A126" s="1">
        <v>102722</v>
      </c>
      <c r="C126" s="1" t="str">
        <f t="shared" si="18"/>
        <v>102722.0</v>
      </c>
      <c r="D126" s="2">
        <f t="shared" si="19"/>
        <v>102722</v>
      </c>
      <c r="E126" s="3">
        <f t="shared" si="20"/>
        <v>0</v>
      </c>
      <c r="F126" s="8" t="s">
        <v>178</v>
      </c>
      <c r="H126" s="1" t="str">
        <f t="shared" si="21"/>
        <v>.0</v>
      </c>
      <c r="I126" s="2">
        <f t="shared" si="22"/>
        <v>0</v>
      </c>
      <c r="J126" s="3">
        <f>IF(G126-INT(G126)&lt;&gt;0,RIGHT(H126,2),)</f>
        <v>0</v>
      </c>
    </row>
    <row r="127" spans="1:10" ht="23.25">
      <c r="A127" s="1">
        <v>2854</v>
      </c>
      <c r="C127" s="1" t="str">
        <f>TEXT(A127,"#.#0")</f>
        <v>2854.0</v>
      </c>
      <c r="D127" s="2">
        <f t="shared" si="19"/>
        <v>2854</v>
      </c>
      <c r="E127" s="3">
        <f>IF(A127-INT(A127)&lt;&gt;0,RIGHT(C127,2),)</f>
        <v>0</v>
      </c>
      <c r="F127" s="8" t="s">
        <v>222</v>
      </c>
      <c r="H127" s="1" t="str">
        <f t="shared" si="21"/>
        <v>.0</v>
      </c>
      <c r="I127" s="2">
        <f t="shared" si="22"/>
        <v>0</v>
      </c>
      <c r="J127" s="3">
        <f>IF(G127-INT(G127)&lt;&gt;0,RIGHT(H127,2),)</f>
        <v>0</v>
      </c>
    </row>
    <row r="128" spans="1:10" ht="23.25">
      <c r="A128" s="1">
        <v>36000</v>
      </c>
      <c r="C128" s="1" t="str">
        <f t="shared" si="18"/>
        <v>36000.0</v>
      </c>
      <c r="D128" s="2">
        <f t="shared" si="19"/>
        <v>36000</v>
      </c>
      <c r="E128" s="3">
        <f t="shared" si="20"/>
        <v>0</v>
      </c>
      <c r="F128" s="8" t="s">
        <v>179</v>
      </c>
      <c r="H128" s="1" t="str">
        <f t="shared" si="21"/>
        <v>.0</v>
      </c>
      <c r="I128" s="2">
        <f t="shared" si="22"/>
        <v>0</v>
      </c>
      <c r="J128" s="3">
        <f t="shared" si="23"/>
        <v>0</v>
      </c>
    </row>
    <row r="129" spans="1:10" ht="23.25">
      <c r="A129" s="1">
        <v>75010</v>
      </c>
      <c r="C129" s="1" t="str">
        <f t="shared" si="18"/>
        <v>75010.0</v>
      </c>
      <c r="D129" s="2">
        <f t="shared" si="19"/>
        <v>75010</v>
      </c>
      <c r="E129" s="3">
        <f t="shared" si="20"/>
        <v>0</v>
      </c>
      <c r="F129" s="8" t="s">
        <v>192</v>
      </c>
      <c r="H129" s="1" t="str">
        <f t="shared" si="21"/>
        <v>.0</v>
      </c>
      <c r="I129" s="2">
        <f t="shared" si="22"/>
        <v>0</v>
      </c>
      <c r="J129" s="3">
        <f aca="true" t="shared" si="24" ref="J129:J135">IF(G129-INT(G129)&lt;&gt;0,RIGHT(H129,2),)</f>
        <v>0</v>
      </c>
    </row>
    <row r="130" spans="1:10" ht="23.25">
      <c r="A130" s="1">
        <v>72264</v>
      </c>
      <c r="C130" s="1" t="str">
        <f t="shared" si="18"/>
        <v>72264.0</v>
      </c>
      <c r="D130" s="2">
        <f t="shared" si="19"/>
        <v>72264</v>
      </c>
      <c r="E130" s="3">
        <f t="shared" si="20"/>
        <v>0</v>
      </c>
      <c r="F130" s="8" t="s">
        <v>197</v>
      </c>
      <c r="H130" s="1" t="str">
        <f t="shared" si="21"/>
        <v>.0</v>
      </c>
      <c r="I130" s="2">
        <f t="shared" si="22"/>
        <v>0</v>
      </c>
      <c r="J130" s="3">
        <f t="shared" si="24"/>
        <v>0</v>
      </c>
    </row>
    <row r="131" spans="1:10" ht="23.25">
      <c r="A131" s="1">
        <v>34200</v>
      </c>
      <c r="C131" s="1" t="str">
        <f t="shared" si="18"/>
        <v>34200.0</v>
      </c>
      <c r="D131" s="2">
        <f t="shared" si="19"/>
        <v>34200</v>
      </c>
      <c r="E131" s="3">
        <f t="shared" si="20"/>
        <v>0</v>
      </c>
      <c r="F131" s="8" t="s">
        <v>327</v>
      </c>
      <c r="H131" s="1" t="str">
        <f t="shared" si="21"/>
        <v>.0</v>
      </c>
      <c r="I131" s="2">
        <f t="shared" si="22"/>
        <v>0</v>
      </c>
      <c r="J131" s="3">
        <f t="shared" si="24"/>
        <v>0</v>
      </c>
    </row>
    <row r="132" spans="1:10" ht="23.25">
      <c r="A132" s="1">
        <v>1710</v>
      </c>
      <c r="C132" s="1" t="str">
        <f t="shared" si="18"/>
        <v>1710.0</v>
      </c>
      <c r="D132" s="2">
        <f t="shared" si="19"/>
        <v>1710</v>
      </c>
      <c r="E132" s="3">
        <f t="shared" si="20"/>
        <v>0</v>
      </c>
      <c r="F132" s="7" t="s">
        <v>328</v>
      </c>
      <c r="H132" s="1" t="str">
        <f t="shared" si="21"/>
        <v>.0</v>
      </c>
      <c r="I132" s="2">
        <f t="shared" si="22"/>
        <v>0</v>
      </c>
      <c r="J132" s="3">
        <f t="shared" si="24"/>
        <v>0</v>
      </c>
    </row>
    <row r="133" spans="3:10" ht="23.25">
      <c r="C133" s="1" t="str">
        <f>TEXT(A133,"#.#0")</f>
        <v>.0</v>
      </c>
      <c r="D133" s="2">
        <f t="shared" si="19"/>
        <v>0</v>
      </c>
      <c r="E133" s="3">
        <f>IF(A133-INT(A133)&lt;&gt;0,RIGHT(C133,2),)</f>
        <v>0</v>
      </c>
      <c r="F133" s="8" t="s">
        <v>183</v>
      </c>
      <c r="H133" s="1" t="str">
        <f t="shared" si="21"/>
        <v>.0</v>
      </c>
      <c r="I133" s="2">
        <f t="shared" si="22"/>
        <v>0</v>
      </c>
      <c r="J133" s="3">
        <f t="shared" si="24"/>
        <v>0</v>
      </c>
    </row>
    <row r="134" spans="1:10" ht="23.25">
      <c r="A134" s="1">
        <v>10500</v>
      </c>
      <c r="C134" s="1" t="str">
        <f>TEXT(A134,"#.#0")</f>
        <v>10500.0</v>
      </c>
      <c r="D134" s="2">
        <f t="shared" si="19"/>
        <v>10500</v>
      </c>
      <c r="E134" s="3">
        <f>IF(A134-INT(A134)&lt;&gt;0,RIGHT(C134,2),)</f>
        <v>0</v>
      </c>
      <c r="F134" s="8" t="s">
        <v>286</v>
      </c>
      <c r="H134" s="1" t="str">
        <f t="shared" si="21"/>
        <v>.0</v>
      </c>
      <c r="I134" s="2">
        <f t="shared" si="22"/>
        <v>0</v>
      </c>
      <c r="J134" s="3">
        <f>IF(G134-INT(G134)&lt;&gt;0,RIGHT(H134,2),)</f>
        <v>0</v>
      </c>
    </row>
    <row r="135" spans="1:10" ht="23.25">
      <c r="A135" s="1">
        <v>21000</v>
      </c>
      <c r="C135" s="1" t="str">
        <f>TEXT(A135,"#.#0")</f>
        <v>21000.0</v>
      </c>
      <c r="D135" s="2">
        <f t="shared" si="19"/>
        <v>21000</v>
      </c>
      <c r="E135" s="3">
        <f>IF(A135-INT(A135)&lt;&gt;0,RIGHT(C135,2),)</f>
        <v>0</v>
      </c>
      <c r="F135" s="8" t="s">
        <v>314</v>
      </c>
      <c r="H135" s="1" t="str">
        <f t="shared" si="21"/>
        <v>.0</v>
      </c>
      <c r="I135" s="2">
        <f t="shared" si="22"/>
        <v>0</v>
      </c>
      <c r="J135" s="3">
        <f t="shared" si="24"/>
        <v>0</v>
      </c>
    </row>
    <row r="136" spans="1:10" ht="23.25">
      <c r="A136" s="1">
        <v>14140</v>
      </c>
      <c r="C136" s="1" t="str">
        <f t="shared" si="2"/>
        <v>14140.0</v>
      </c>
      <c r="D136" s="2">
        <f t="shared" si="4"/>
        <v>14140</v>
      </c>
      <c r="E136" s="3">
        <f t="shared" si="20"/>
        <v>0</v>
      </c>
      <c r="F136" s="7" t="s">
        <v>209</v>
      </c>
      <c r="H136" s="1" t="str">
        <f t="shared" si="14"/>
        <v>.0</v>
      </c>
      <c r="I136" s="2">
        <f t="shared" si="3"/>
        <v>0</v>
      </c>
      <c r="J136" s="3">
        <f aca="true" t="shared" si="25" ref="J136:J147">IF(G136-INT(G136)&lt;&gt;0,RIGHT(H136,2),)</f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 t="s">
        <v>195</v>
      </c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F138" s="7" t="s">
        <v>196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0" ht="23.25">
      <c r="A139" s="1">
        <v>5800</v>
      </c>
      <c r="C139" s="1" t="str">
        <f t="shared" si="2"/>
        <v>5800.0</v>
      </c>
      <c r="D139" s="2">
        <f t="shared" si="4"/>
        <v>5800</v>
      </c>
      <c r="E139" s="3">
        <f t="shared" si="20"/>
        <v>0</v>
      </c>
      <c r="F139" s="7" t="s">
        <v>380</v>
      </c>
      <c r="H139" s="1" t="str">
        <f t="shared" si="14"/>
        <v>.0</v>
      </c>
      <c r="I139" s="2"/>
      <c r="J139" s="3"/>
    </row>
    <row r="140" spans="1:10" ht="23.25">
      <c r="A140" s="1">
        <v>0</v>
      </c>
      <c r="C140" s="1" t="str">
        <f t="shared" si="2"/>
        <v>.0</v>
      </c>
      <c r="D140" s="2">
        <f t="shared" si="4"/>
        <v>0</v>
      </c>
      <c r="E140" s="3">
        <f t="shared" si="20"/>
        <v>0</v>
      </c>
      <c r="F140" s="7" t="s">
        <v>197</v>
      </c>
      <c r="G140" s="1">
        <v>0</v>
      </c>
      <c r="H140" s="1" t="str">
        <f t="shared" si="14"/>
        <v>.0</v>
      </c>
      <c r="I140" s="2">
        <f t="shared" si="3"/>
        <v>0</v>
      </c>
      <c r="J140" s="3">
        <f t="shared" si="25"/>
        <v>0</v>
      </c>
    </row>
    <row r="141" spans="1:10" ht="23.25">
      <c r="A141" s="1">
        <v>0</v>
      </c>
      <c r="C141" s="1" t="str">
        <f t="shared" si="2"/>
        <v>.0</v>
      </c>
      <c r="D141" s="2">
        <f t="shared" si="4"/>
        <v>0</v>
      </c>
      <c r="E141" s="3">
        <f t="shared" si="20"/>
        <v>0</v>
      </c>
      <c r="F141" s="7" t="s">
        <v>374</v>
      </c>
      <c r="H141" s="1" t="str">
        <f t="shared" si="14"/>
        <v>.0</v>
      </c>
      <c r="I141" s="2">
        <f t="shared" si="3"/>
        <v>0</v>
      </c>
      <c r="J141" s="3">
        <f t="shared" si="25"/>
        <v>0</v>
      </c>
    </row>
    <row r="142" spans="1:10" ht="23.25">
      <c r="A142" s="1">
        <v>6030000</v>
      </c>
      <c r="C142" s="1" t="str">
        <f t="shared" si="2"/>
        <v>6030000.0</v>
      </c>
      <c r="D142" s="2">
        <f t="shared" si="4"/>
        <v>6030000</v>
      </c>
      <c r="E142" s="3">
        <f t="shared" si="20"/>
        <v>0</v>
      </c>
      <c r="F142" s="7" t="s">
        <v>375</v>
      </c>
      <c r="H142" s="1" t="str">
        <f t="shared" si="14"/>
        <v>.0</v>
      </c>
      <c r="I142" s="2">
        <f t="shared" si="3"/>
        <v>0</v>
      </c>
      <c r="J142" s="3">
        <f t="shared" si="25"/>
        <v>0</v>
      </c>
    </row>
    <row r="143" spans="1:10" ht="23.25">
      <c r="A143" s="1">
        <v>14898</v>
      </c>
      <c r="C143" s="1" t="str">
        <f t="shared" si="2"/>
        <v>14898.0</v>
      </c>
      <c r="D143" s="2">
        <f t="shared" si="4"/>
        <v>14898</v>
      </c>
      <c r="E143" s="3">
        <f t="shared" si="20"/>
        <v>0</v>
      </c>
      <c r="F143" s="7" t="s">
        <v>135</v>
      </c>
      <c r="G143" s="1">
        <v>14898</v>
      </c>
      <c r="H143" s="1" t="str">
        <f t="shared" si="14"/>
        <v>14898.0</v>
      </c>
      <c r="I143" s="2">
        <f t="shared" si="3"/>
        <v>14898</v>
      </c>
      <c r="J143" s="3">
        <f t="shared" si="25"/>
        <v>0</v>
      </c>
    </row>
    <row r="144" spans="3:10" ht="23.25">
      <c r="C144" s="1" t="str">
        <f t="shared" si="2"/>
        <v>.0</v>
      </c>
      <c r="D144" s="2">
        <f t="shared" si="4"/>
        <v>0</v>
      </c>
      <c r="E144" s="3">
        <f t="shared" si="20"/>
        <v>0</v>
      </c>
      <c r="H144" s="1" t="str">
        <f t="shared" si="14"/>
        <v>.0</v>
      </c>
      <c r="I144" s="2">
        <f t="shared" si="3"/>
        <v>0</v>
      </c>
      <c r="J144" s="3">
        <f t="shared" si="25"/>
        <v>0</v>
      </c>
    </row>
    <row r="145" spans="1:12" ht="23.25">
      <c r="A145" s="1">
        <f>SUM(A73:A144)</f>
        <v>278006322.68</v>
      </c>
      <c r="C145" s="173" t="str">
        <f>TEXT(A145,"#.#0")</f>
        <v>278006322.68</v>
      </c>
      <c r="D145" s="2">
        <f>INT(C145)</f>
        <v>278006322</v>
      </c>
      <c r="E145" s="3" t="str">
        <f t="shared" si="20"/>
        <v>68</v>
      </c>
      <c r="F145" s="109" t="s">
        <v>23</v>
      </c>
      <c r="G145" s="1">
        <f>SUM(G73:G143)</f>
        <v>32752867.120000005</v>
      </c>
      <c r="H145" s="1" t="str">
        <f>TEXT(G145,"#.#0")</f>
        <v>32752867.12</v>
      </c>
      <c r="I145" s="2">
        <f t="shared" si="3"/>
        <v>32752867</v>
      </c>
      <c r="J145" s="3" t="str">
        <f t="shared" si="25"/>
        <v>12</v>
      </c>
      <c r="L145" s="1">
        <v>56793652.35</v>
      </c>
    </row>
    <row r="146" spans="1:10" ht="23.25">
      <c r="A146" s="1">
        <f>A71-A145</f>
        <v>-18760172.47</v>
      </c>
      <c r="C146" s="1" t="str">
        <f t="shared" si="2"/>
        <v>-18760172.47</v>
      </c>
      <c r="D146" s="2">
        <f>INT(C146)+1</f>
        <v>-18760172</v>
      </c>
      <c r="E146" s="3" t="str">
        <f>IF(A146-INT(A146)&lt;&gt;0,RIGHT(C146,2),)</f>
        <v>47</v>
      </c>
      <c r="G146" s="1">
        <f>+G71-G145</f>
        <v>-6559399.300000001</v>
      </c>
      <c r="H146" s="1" t="str">
        <f>TEXT(G146,"#.#0")</f>
        <v>-6559399.30</v>
      </c>
      <c r="I146" s="2">
        <f>INT(H146)+1</f>
        <v>-6559399</v>
      </c>
      <c r="J146" s="3" t="str">
        <f t="shared" si="25"/>
        <v>30</v>
      </c>
    </row>
    <row r="147" spans="1:12" ht="23.25">
      <c r="A147" s="1">
        <f>A1+A146</f>
        <v>39332618.93</v>
      </c>
      <c r="C147" s="1" t="str">
        <f>TEXT(A147,"#.#0")</f>
        <v>39332618.93</v>
      </c>
      <c r="D147" s="2">
        <f t="shared" si="4"/>
        <v>39332618</v>
      </c>
      <c r="E147" s="3" t="str">
        <f t="shared" si="20"/>
        <v>93</v>
      </c>
      <c r="G147" s="1">
        <f>G1+G146</f>
        <v>39332618.92999999</v>
      </c>
      <c r="H147" s="1" t="str">
        <f>TEXT(G147,"#.#0")</f>
        <v>39332618.93</v>
      </c>
      <c r="I147" s="2">
        <f t="shared" si="3"/>
        <v>39332618</v>
      </c>
      <c r="J147" s="3" t="str">
        <f t="shared" si="25"/>
        <v>93</v>
      </c>
      <c r="L147" s="1">
        <f>+L145-G147</f>
        <v>17461033.42000001</v>
      </c>
    </row>
    <row r="149" ht="21.75">
      <c r="L149" t="s">
        <v>330</v>
      </c>
    </row>
    <row r="150" ht="21.75">
      <c r="B150" s="1">
        <f>+A147-G147</f>
        <v>0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7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0"/>
  <sheetViews>
    <sheetView view="pageBreakPreview" zoomScale="112" zoomScaleSheetLayoutView="112" zoomScalePageLayoutView="0" workbookViewId="0" topLeftCell="A75">
      <selection activeCell="J153" sqref="J153"/>
    </sheetView>
  </sheetViews>
  <sheetFormatPr defaultColWidth="9.140625" defaultRowHeight="21.75"/>
  <cols>
    <col min="1" max="1" width="15.421875" style="24" customWidth="1"/>
    <col min="2" max="2" width="5.57421875" style="24" customWidth="1"/>
    <col min="3" max="3" width="15.00390625" style="24" customWidth="1"/>
    <col min="4" max="4" width="5.57421875" style="24" customWidth="1"/>
    <col min="5" max="5" width="46.421875" style="24" customWidth="1"/>
    <col min="6" max="6" width="8.00390625" style="24" customWidth="1"/>
    <col min="7" max="7" width="14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13.57421875" style="24" bestFit="1" customWidth="1"/>
    <col min="12" max="12" width="13.71093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30</v>
      </c>
      <c r="B1" s="10"/>
      <c r="C1" s="10"/>
      <c r="D1" s="10"/>
      <c r="E1" s="10"/>
      <c r="F1" s="88" t="s">
        <v>392</v>
      </c>
      <c r="G1" s="10"/>
      <c r="H1" s="10"/>
    </row>
    <row r="2" spans="1:8" ht="22.5" customHeight="1">
      <c r="A2" s="206" t="s">
        <v>379</v>
      </c>
      <c r="B2" s="206"/>
      <c r="C2" s="206"/>
      <c r="D2" s="206"/>
      <c r="E2" s="206"/>
      <c r="F2" s="206"/>
      <c r="G2" s="206"/>
      <c r="H2" s="206"/>
    </row>
    <row r="3" spans="1:8" ht="22.5" customHeight="1" thickBot="1">
      <c r="A3" s="10"/>
      <c r="B3" s="89"/>
      <c r="C3" s="89"/>
      <c r="D3" s="89"/>
      <c r="E3" s="89"/>
      <c r="F3" s="10" t="s">
        <v>231</v>
      </c>
      <c r="G3" s="89"/>
      <c r="H3" s="89"/>
    </row>
    <row r="4" spans="1:8" ht="22.5" customHeight="1" thickTop="1">
      <c r="A4" s="207" t="s">
        <v>0</v>
      </c>
      <c r="B4" s="208"/>
      <c r="C4" s="208"/>
      <c r="D4" s="209"/>
      <c r="E4" s="197" t="s">
        <v>4</v>
      </c>
      <c r="F4" s="90" t="s">
        <v>5</v>
      </c>
      <c r="G4" s="200" t="s">
        <v>7</v>
      </c>
      <c r="H4" s="201"/>
    </row>
    <row r="5" spans="1:8" ht="22.5" customHeight="1">
      <c r="A5" s="195" t="s">
        <v>1</v>
      </c>
      <c r="B5" s="196"/>
      <c r="C5" s="204" t="s">
        <v>3</v>
      </c>
      <c r="D5" s="205"/>
      <c r="E5" s="198"/>
      <c r="F5" s="91" t="s">
        <v>6</v>
      </c>
      <c r="G5" s="195" t="s">
        <v>3</v>
      </c>
      <c r="H5" s="196"/>
    </row>
    <row r="6" spans="1:8" ht="22.5" customHeight="1" thickBot="1">
      <c r="A6" s="210" t="s">
        <v>2</v>
      </c>
      <c r="B6" s="211"/>
      <c r="C6" s="210" t="s">
        <v>2</v>
      </c>
      <c r="D6" s="211"/>
      <c r="E6" s="199"/>
      <c r="F6" s="92"/>
      <c r="G6" s="202" t="s">
        <v>2</v>
      </c>
      <c r="H6" s="203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45892018</v>
      </c>
      <c r="H7" s="27" t="str">
        <f>Sheet1!J1</f>
        <v>23</v>
      </c>
    </row>
    <row r="8" spans="1:8" ht="22.5" customHeight="1">
      <c r="A8" s="28"/>
      <c r="B8" s="28"/>
      <c r="C8" s="29"/>
      <c r="D8" s="28"/>
      <c r="E8" s="107" t="s">
        <v>114</v>
      </c>
      <c r="F8" s="28"/>
      <c r="G8" s="28"/>
      <c r="H8" s="28"/>
    </row>
    <row r="9" spans="1:8" ht="22.5" customHeight="1">
      <c r="A9" s="29">
        <v>12700000</v>
      </c>
      <c r="B9" s="30" t="s">
        <v>113</v>
      </c>
      <c r="C9" s="29">
        <f>Sheet1!D2</f>
        <v>12435636</v>
      </c>
      <c r="D9" s="29" t="str">
        <f>Sheet1!E2</f>
        <v>28</v>
      </c>
      <c r="E9" s="28" t="s">
        <v>100</v>
      </c>
      <c r="F9" s="31" t="s">
        <v>33</v>
      </c>
      <c r="G9" s="29">
        <f>Sheet1!I2</f>
        <v>353093</v>
      </c>
      <c r="H9" s="29" t="str">
        <f>Sheet1!J2</f>
        <v>30</v>
      </c>
    </row>
    <row r="10" spans="1:8" ht="22.5" customHeight="1">
      <c r="A10" s="29">
        <v>4090000</v>
      </c>
      <c r="B10" s="30" t="s">
        <v>113</v>
      </c>
      <c r="C10" s="29">
        <f>Sheet1!D3</f>
        <v>4067354</v>
      </c>
      <c r="D10" s="29" t="str">
        <f>Sheet1!E3</f>
        <v>40</v>
      </c>
      <c r="E10" s="28" t="s">
        <v>101</v>
      </c>
      <c r="F10" s="31" t="s">
        <v>34</v>
      </c>
      <c r="G10" s="29">
        <f>Sheet1!I3</f>
        <v>547843</v>
      </c>
      <c r="H10" s="29">
        <f>Sheet1!J3</f>
        <v>0</v>
      </c>
    </row>
    <row r="11" spans="1:8" ht="22.5" customHeight="1">
      <c r="A11" s="29">
        <v>1200000</v>
      </c>
      <c r="B11" s="30" t="s">
        <v>113</v>
      </c>
      <c r="C11" s="29">
        <f>Sheet1!D4</f>
        <v>807295</v>
      </c>
      <c r="D11" s="29" t="str">
        <f>Sheet1!E4</f>
        <v>27</v>
      </c>
      <c r="E11" s="28" t="s">
        <v>102</v>
      </c>
      <c r="F11" s="31" t="s">
        <v>35</v>
      </c>
      <c r="G11" s="29">
        <f>Sheet1!I4</f>
        <v>97425</v>
      </c>
      <c r="H11" s="29" t="str">
        <f>Sheet1!J4</f>
        <v>51</v>
      </c>
    </row>
    <row r="12" spans="1:8" ht="22.5" customHeight="1">
      <c r="A12" s="29">
        <v>1110000</v>
      </c>
      <c r="B12" s="30" t="s">
        <v>113</v>
      </c>
      <c r="C12" s="29">
        <f>Sheet1!D5</f>
        <v>1062448</v>
      </c>
      <c r="D12" s="29" t="str">
        <f>Sheet1!E5</f>
        <v>60</v>
      </c>
      <c r="E12" s="28" t="s">
        <v>103</v>
      </c>
      <c r="F12" s="31" t="s">
        <v>36</v>
      </c>
      <c r="G12" s="29">
        <f>Sheet1!I5</f>
        <v>25590</v>
      </c>
      <c r="H12" s="29">
        <f>Sheet1!J5</f>
        <v>0</v>
      </c>
    </row>
    <row r="13" spans="1:10" ht="22.5" customHeight="1">
      <c r="A13" s="29">
        <v>156900000</v>
      </c>
      <c r="B13" s="30" t="s">
        <v>113</v>
      </c>
      <c r="C13" s="29">
        <f>Sheet1!D6</f>
        <v>121364903</v>
      </c>
      <c r="D13" s="29" t="str">
        <f>Sheet1!E6</f>
        <v>07</v>
      </c>
      <c r="E13" s="28" t="s">
        <v>104</v>
      </c>
      <c r="F13" s="31" t="s">
        <v>37</v>
      </c>
      <c r="G13" s="29">
        <f>Sheet1!I6</f>
        <v>12308725</v>
      </c>
      <c r="H13" s="29" t="str">
        <f>Sheet1!J6</f>
        <v>90</v>
      </c>
      <c r="J13" s="61">
        <f>+G13+G12+G11+G10+G9</f>
        <v>13332676</v>
      </c>
    </row>
    <row r="14" spans="1:8" ht="22.5" customHeight="1">
      <c r="A14" s="29">
        <v>39000000</v>
      </c>
      <c r="B14" s="30" t="s">
        <v>113</v>
      </c>
      <c r="C14" s="29">
        <f>Sheet1!D7</f>
        <v>29794395</v>
      </c>
      <c r="D14" s="29">
        <f>Sheet1!E7</f>
        <v>0</v>
      </c>
      <c r="E14" s="28" t="s">
        <v>112</v>
      </c>
      <c r="F14" s="31" t="s">
        <v>44</v>
      </c>
      <c r="G14" s="29">
        <f>Sheet1!I7</f>
        <v>0</v>
      </c>
      <c r="H14" s="29">
        <f>Sheet1!J7</f>
        <v>0</v>
      </c>
    </row>
    <row r="15" spans="1:8" ht="22.5" customHeight="1">
      <c r="A15" s="28"/>
      <c r="B15" s="28"/>
      <c r="C15" s="29">
        <f>Sheet1!D8</f>
        <v>96745</v>
      </c>
      <c r="D15" s="29">
        <f>Sheet1!E8</f>
        <v>0</v>
      </c>
      <c r="E15" s="28" t="s">
        <v>50</v>
      </c>
      <c r="F15" s="31" t="s">
        <v>235</v>
      </c>
      <c r="G15" s="29">
        <f>Sheet1!I8</f>
        <v>62639</v>
      </c>
      <c r="H15" s="29">
        <f>Sheet1!J8</f>
        <v>0</v>
      </c>
    </row>
    <row r="16" spans="1:8" ht="22.5" customHeight="1">
      <c r="A16" s="28"/>
      <c r="B16" s="28"/>
      <c r="C16" s="29">
        <f>Sheet1!D9</f>
        <v>0</v>
      </c>
      <c r="D16" s="29">
        <f>Sheet1!E9</f>
        <v>0</v>
      </c>
      <c r="E16" s="28" t="s">
        <v>105</v>
      </c>
      <c r="F16" s="31" t="s">
        <v>236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160500</v>
      </c>
      <c r="D17" s="29">
        <f>Sheet1!E10</f>
        <v>0</v>
      </c>
      <c r="E17" s="28" t="s">
        <v>106</v>
      </c>
      <c r="F17" s="31" t="s">
        <v>237</v>
      </c>
      <c r="G17" s="29">
        <f>Sheet1!I10</f>
        <v>1000</v>
      </c>
      <c r="H17" s="29">
        <f>Sheet1!J10</f>
        <v>0</v>
      </c>
    </row>
    <row r="18" spans="1:8" ht="22.5" customHeight="1">
      <c r="A18" s="28"/>
      <c r="B18" s="28"/>
      <c r="C18" s="29">
        <f>Sheet1!D11</f>
        <v>7470418</v>
      </c>
      <c r="D18" s="29">
        <f>Sheet1!E11</f>
        <v>0</v>
      </c>
      <c r="E18" s="28" t="s">
        <v>107</v>
      </c>
      <c r="F18" s="31" t="s">
        <v>238</v>
      </c>
      <c r="G18" s="29">
        <v>0</v>
      </c>
      <c r="H18" s="29">
        <v>0</v>
      </c>
    </row>
    <row r="19" spans="1:8" ht="22.5" customHeight="1">
      <c r="A19" s="28"/>
      <c r="B19" s="28"/>
      <c r="C19" s="29">
        <f>Sheet1!D12</f>
        <v>18136140</v>
      </c>
      <c r="D19" s="29">
        <f>Sheet1!E12</f>
        <v>0</v>
      </c>
      <c r="E19" s="28" t="s">
        <v>108</v>
      </c>
      <c r="F19" s="31" t="s">
        <v>239</v>
      </c>
      <c r="G19" s="29">
        <v>0</v>
      </c>
      <c r="H19" s="29">
        <f>Sheet1!J12</f>
        <v>0</v>
      </c>
    </row>
    <row r="20" spans="1:8" ht="22.5" customHeight="1">
      <c r="A20" s="28"/>
      <c r="B20" s="28"/>
      <c r="C20" s="29">
        <f>Sheet1!D13</f>
        <v>57000</v>
      </c>
      <c r="D20" s="29">
        <f>Sheet1!E13</f>
        <v>0</v>
      </c>
      <c r="E20" s="28" t="s">
        <v>240</v>
      </c>
      <c r="F20" s="31" t="s">
        <v>241</v>
      </c>
      <c r="G20" s="29">
        <f>Sheet1!I13</f>
        <v>12000</v>
      </c>
      <c r="H20" s="29">
        <f>Sheet1!J13</f>
        <v>0</v>
      </c>
    </row>
    <row r="21" spans="1:8" ht="22.5" customHeight="1">
      <c r="A21" s="28"/>
      <c r="B21" s="28"/>
      <c r="C21" s="29">
        <f>Sheet1!D14</f>
        <v>0</v>
      </c>
      <c r="D21" s="29">
        <f>Sheet1!E14</f>
        <v>0</v>
      </c>
      <c r="E21" s="28" t="s">
        <v>85</v>
      </c>
      <c r="F21" s="31" t="s">
        <v>86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16103705</v>
      </c>
      <c r="D22" s="29" t="str">
        <f>Sheet1!E15</f>
        <v>45</v>
      </c>
      <c r="E22" s="28" t="s">
        <v>11</v>
      </c>
      <c r="F22" s="31" t="s">
        <v>242</v>
      </c>
      <c r="G22" s="29">
        <f>Sheet1!I15</f>
        <v>161187</v>
      </c>
      <c r="H22" s="29" t="str">
        <f>Sheet1!J15</f>
        <v>66</v>
      </c>
    </row>
    <row r="23" spans="1:8" ht="22.5" customHeight="1">
      <c r="A23" s="28"/>
      <c r="B23" s="28"/>
      <c r="C23" s="29">
        <f>Sheet1!D16</f>
        <v>6790666</v>
      </c>
      <c r="D23" s="29" t="str">
        <f>Sheet1!E16</f>
        <v>01</v>
      </c>
      <c r="E23" s="33" t="s">
        <v>12</v>
      </c>
      <c r="F23" s="31" t="s">
        <v>109</v>
      </c>
      <c r="G23" s="29">
        <f>Sheet1!I16</f>
        <v>6505338</v>
      </c>
      <c r="H23" s="29" t="str">
        <f>Sheet1!J16</f>
        <v>01</v>
      </c>
    </row>
    <row r="24" spans="1:8" ht="22.5" customHeight="1">
      <c r="A24" s="28"/>
      <c r="B24" s="28"/>
      <c r="C24" s="29">
        <f>Sheet1!D17</f>
        <v>1344</v>
      </c>
      <c r="D24" s="29">
        <f>Sheet1!E17</f>
        <v>0</v>
      </c>
      <c r="E24" s="33" t="s">
        <v>159</v>
      </c>
      <c r="F24" s="31" t="s">
        <v>57</v>
      </c>
      <c r="G24" s="29">
        <f>Sheet1!I17</f>
        <v>1344</v>
      </c>
      <c r="H24" s="29">
        <f>Sheet1!J17</f>
        <v>0</v>
      </c>
    </row>
    <row r="25" spans="1:8" ht="22.5" customHeight="1">
      <c r="A25" s="28"/>
      <c r="B25" s="28"/>
      <c r="C25" s="29">
        <f>Sheet1!D21</f>
        <v>0</v>
      </c>
      <c r="D25" s="29">
        <f>Sheet1!E21</f>
        <v>0</v>
      </c>
      <c r="E25" s="130" t="s">
        <v>187</v>
      </c>
      <c r="F25" s="31"/>
      <c r="G25" s="29">
        <f>Sheet1!I21</f>
        <v>0</v>
      </c>
      <c r="H25" s="29">
        <f>Sheet1!J21</f>
        <v>0</v>
      </c>
    </row>
    <row r="26" spans="1:8" ht="22.5" customHeight="1">
      <c r="A26" s="28"/>
      <c r="B26" s="28"/>
      <c r="C26" s="29">
        <f>Sheet1!D22</f>
        <v>8400</v>
      </c>
      <c r="D26" s="29">
        <f>Sheet1!E22</f>
        <v>0</v>
      </c>
      <c r="E26" s="130" t="s">
        <v>169</v>
      </c>
      <c r="F26" s="31"/>
      <c r="G26" s="29">
        <f>Sheet1!I22</f>
        <v>0</v>
      </c>
      <c r="H26" s="29">
        <f>Sheet1!J22</f>
        <v>0</v>
      </c>
    </row>
    <row r="27" spans="1:8" ht="22.5" customHeight="1">
      <c r="A27" s="28"/>
      <c r="B27" s="28"/>
      <c r="C27" s="29">
        <f>Sheet1!D23</f>
        <v>0</v>
      </c>
      <c r="D27" s="29">
        <f>Sheet1!E23</f>
        <v>0</v>
      </c>
      <c r="E27" s="130" t="s">
        <v>198</v>
      </c>
      <c r="F27" s="31"/>
      <c r="G27" s="29">
        <f>Sheet1!I23</f>
        <v>0</v>
      </c>
      <c r="H27" s="29">
        <f>Sheet1!J23</f>
        <v>0</v>
      </c>
    </row>
    <row r="28" spans="1:8" ht="22.5" customHeight="1">
      <c r="A28" s="28"/>
      <c r="B28" s="28"/>
      <c r="C28" s="29">
        <f>Sheet1!D24</f>
        <v>0</v>
      </c>
      <c r="D28" s="29">
        <f>Sheet1!E24</f>
        <v>0</v>
      </c>
      <c r="E28" s="130" t="s">
        <v>170</v>
      </c>
      <c r="F28" s="31"/>
      <c r="G28" s="29">
        <f>Sheet1!I24</f>
        <v>0</v>
      </c>
      <c r="H28" s="29">
        <f>Sheet1!J24</f>
        <v>0</v>
      </c>
    </row>
    <row r="29" spans="1:8" ht="22.5" customHeight="1">
      <c r="A29" s="28"/>
      <c r="B29" s="28"/>
      <c r="C29" s="29">
        <f>Sheet1!D25</f>
        <v>23210800</v>
      </c>
      <c r="D29" s="29">
        <f>Sheet1!E25</f>
        <v>0</v>
      </c>
      <c r="E29" s="129" t="s">
        <v>282</v>
      </c>
      <c r="F29" s="31" t="s">
        <v>218</v>
      </c>
      <c r="G29" s="29">
        <f>Sheet1!I25</f>
        <v>233900</v>
      </c>
      <c r="H29" s="29">
        <f>Sheet1!J25</f>
        <v>0</v>
      </c>
    </row>
    <row r="30" spans="1:8" ht="22.5" customHeight="1">
      <c r="A30" s="28"/>
      <c r="B30" s="28"/>
      <c r="C30" s="29">
        <f>Sheet1!D26</f>
        <v>3983200</v>
      </c>
      <c r="D30" s="29">
        <f>Sheet1!E26</f>
        <v>0</v>
      </c>
      <c r="E30" s="33" t="s">
        <v>283</v>
      </c>
      <c r="F30" s="31" t="s">
        <v>218</v>
      </c>
      <c r="G30" s="29">
        <f>Sheet1!I26</f>
        <v>96800</v>
      </c>
      <c r="H30" s="29">
        <f>Sheet1!J26</f>
        <v>0</v>
      </c>
    </row>
    <row r="31" spans="1:8" ht="22.5" customHeight="1">
      <c r="A31" s="28"/>
      <c r="B31" s="28"/>
      <c r="C31" s="29">
        <f>Sheet1!D27</f>
        <v>701580</v>
      </c>
      <c r="D31" s="29">
        <f>Sheet1!E27</f>
        <v>0</v>
      </c>
      <c r="E31" s="103" t="s">
        <v>279</v>
      </c>
      <c r="F31" s="31" t="s">
        <v>218</v>
      </c>
      <c r="G31" s="29">
        <f>Sheet1!I27</f>
        <v>68710</v>
      </c>
      <c r="H31" s="29">
        <f>Sheet1!J27</f>
        <v>0</v>
      </c>
    </row>
    <row r="32" spans="1:8" ht="22.5" customHeight="1">
      <c r="A32" s="28"/>
      <c r="B32" s="28"/>
      <c r="C32" s="29">
        <f>Sheet1!D28</f>
        <v>428900</v>
      </c>
      <c r="D32" s="29">
        <f>Sheet1!E28</f>
        <v>0</v>
      </c>
      <c r="E32" s="103" t="s">
        <v>280</v>
      </c>
      <c r="F32" s="31" t="s">
        <v>218</v>
      </c>
      <c r="G32" s="29">
        <f>Sheet1!I28</f>
        <v>0</v>
      </c>
      <c r="H32" s="29">
        <f>Sheet1!J28</f>
        <v>0</v>
      </c>
    </row>
    <row r="33" spans="1:8" ht="22.5" customHeight="1">
      <c r="A33" s="28"/>
      <c r="B33" s="28"/>
      <c r="C33" s="29">
        <f>Sheet1!D29</f>
        <v>26395</v>
      </c>
      <c r="D33" s="29">
        <f>Sheet1!E29</f>
        <v>0</v>
      </c>
      <c r="E33" s="103" t="s">
        <v>281</v>
      </c>
      <c r="F33" s="31" t="s">
        <v>218</v>
      </c>
      <c r="G33" s="29">
        <f>Sheet1!I29</f>
        <v>0</v>
      </c>
      <c r="H33" s="29">
        <f>Sheet1!J29</f>
        <v>0</v>
      </c>
    </row>
    <row r="34" spans="1:8" ht="22.5" customHeight="1">
      <c r="A34" s="28"/>
      <c r="B34" s="28"/>
      <c r="C34" s="29">
        <f>Sheet1!D30</f>
        <v>78000</v>
      </c>
      <c r="D34" s="29">
        <f>Sheet1!E30</f>
        <v>0</v>
      </c>
      <c r="E34" s="140" t="s">
        <v>287</v>
      </c>
      <c r="F34" s="31" t="s">
        <v>218</v>
      </c>
      <c r="G34" s="29">
        <f>Sheet1!I30</f>
        <v>0</v>
      </c>
      <c r="H34" s="29">
        <f>Sheet1!J30</f>
        <v>0</v>
      </c>
    </row>
    <row r="35" spans="1:8" ht="22.5" customHeight="1">
      <c r="A35" s="28"/>
      <c r="B35" s="28"/>
      <c r="C35" s="29">
        <f>Sheet1!D32</f>
        <v>14237</v>
      </c>
      <c r="D35" s="29">
        <f>Sheet1!E32</f>
        <v>0</v>
      </c>
      <c r="E35" s="103" t="s">
        <v>173</v>
      </c>
      <c r="F35" s="31" t="s">
        <v>218</v>
      </c>
      <c r="G35" s="29">
        <f>Sheet1!I32</f>
        <v>0</v>
      </c>
      <c r="H35" s="29">
        <f>Sheet1!J32</f>
        <v>0</v>
      </c>
    </row>
    <row r="36" spans="1:8" ht="22.5" customHeight="1">
      <c r="A36" s="28"/>
      <c r="B36" s="28"/>
      <c r="C36" s="29">
        <f>Sheet1!D33</f>
        <v>284738</v>
      </c>
      <c r="D36" s="29" t="str">
        <f>Sheet1!E33</f>
        <v>72</v>
      </c>
      <c r="E36" s="103" t="s">
        <v>305</v>
      </c>
      <c r="F36" s="31" t="s">
        <v>218</v>
      </c>
      <c r="G36" s="29">
        <f>Sheet1!I33</f>
        <v>0</v>
      </c>
      <c r="H36" s="29">
        <f>Sheet1!J33</f>
        <v>0</v>
      </c>
    </row>
    <row r="37" spans="1:8" ht="22.5" customHeight="1">
      <c r="A37" s="28"/>
      <c r="B37" s="28"/>
      <c r="C37" s="29">
        <f>Sheet1!D34</f>
        <v>3000</v>
      </c>
      <c r="D37" s="29">
        <f>Sheet1!E34</f>
        <v>0</v>
      </c>
      <c r="E37" s="103" t="s">
        <v>174</v>
      </c>
      <c r="F37" s="31" t="s">
        <v>218</v>
      </c>
      <c r="G37" s="29">
        <f>Sheet1!I34</f>
        <v>0</v>
      </c>
      <c r="H37" s="29">
        <f>Sheet1!J34</f>
        <v>0</v>
      </c>
    </row>
    <row r="38" spans="1:8" ht="22.5" customHeight="1">
      <c r="A38" s="28"/>
      <c r="B38" s="28"/>
      <c r="C38" s="29">
        <f>Sheet1!D35</f>
        <v>66310</v>
      </c>
      <c r="D38" s="29">
        <f>Sheet1!E35</f>
        <v>0</v>
      </c>
      <c r="E38" s="103" t="s">
        <v>175</v>
      </c>
      <c r="F38" s="31" t="s">
        <v>218</v>
      </c>
      <c r="G38" s="29">
        <f>Sheet1!I35</f>
        <v>0</v>
      </c>
      <c r="H38" s="29">
        <f>Sheet1!J35</f>
        <v>0</v>
      </c>
    </row>
    <row r="39" spans="1:8" ht="22.5" customHeight="1">
      <c r="A39" s="28"/>
      <c r="B39" s="28"/>
      <c r="C39" s="29">
        <f>Sheet1!D36</f>
        <v>5938</v>
      </c>
      <c r="D39" s="29">
        <f>Sheet1!E36</f>
        <v>0</v>
      </c>
      <c r="E39" s="103" t="s">
        <v>215</v>
      </c>
      <c r="F39" s="31" t="s">
        <v>218</v>
      </c>
      <c r="G39" s="29">
        <f>Sheet1!I36</f>
        <v>0</v>
      </c>
      <c r="H39" s="29">
        <f>Sheet1!J36</f>
        <v>0</v>
      </c>
    </row>
    <row r="40" spans="1:8" ht="22.5" customHeight="1">
      <c r="A40" s="28"/>
      <c r="B40" s="28"/>
      <c r="C40" s="29">
        <f>Sheet1!D37</f>
        <v>49061</v>
      </c>
      <c r="D40" s="29">
        <f>Sheet1!E37</f>
        <v>0</v>
      </c>
      <c r="E40" s="103" t="s">
        <v>176</v>
      </c>
      <c r="F40" s="31" t="s">
        <v>218</v>
      </c>
      <c r="G40" s="29">
        <f>Sheet1!I37</f>
        <v>0</v>
      </c>
      <c r="H40" s="29">
        <f>Sheet1!J37</f>
        <v>0</v>
      </c>
    </row>
    <row r="41" spans="1:8" ht="22.5" customHeight="1">
      <c r="A41" s="28"/>
      <c r="B41" s="28"/>
      <c r="C41" s="29">
        <f>Sheet1!D38</f>
        <v>229500</v>
      </c>
      <c r="D41" s="29">
        <f>Sheet1!E38</f>
        <v>0</v>
      </c>
      <c r="E41" s="103" t="s">
        <v>285</v>
      </c>
      <c r="F41" s="31" t="s">
        <v>218</v>
      </c>
      <c r="G41" s="29">
        <f>Sheet1!I38</f>
        <v>0</v>
      </c>
      <c r="H41" s="29">
        <f>Sheet1!J38</f>
        <v>0</v>
      </c>
    </row>
    <row r="42" spans="1:8" ht="22.5" customHeight="1" hidden="1">
      <c r="A42" s="28"/>
      <c r="B42" s="28"/>
      <c r="C42" s="29">
        <f>Sheet1!D39</f>
        <v>14085</v>
      </c>
      <c r="D42" s="29">
        <f>Sheet1!E39</f>
        <v>0</v>
      </c>
      <c r="E42" s="103" t="s">
        <v>177</v>
      </c>
      <c r="F42" s="31" t="s">
        <v>218</v>
      </c>
      <c r="G42" s="29">
        <f>Sheet1!I39</f>
        <v>0</v>
      </c>
      <c r="H42" s="29">
        <f>Sheet1!J39</f>
        <v>0</v>
      </c>
    </row>
    <row r="43" spans="1:8" ht="20.25" customHeight="1" thickBot="1">
      <c r="A43" s="192" t="s">
        <v>22</v>
      </c>
      <c r="B43" s="192"/>
      <c r="C43" s="192"/>
      <c r="D43" s="192"/>
      <c r="E43" s="192"/>
      <c r="F43" s="192"/>
      <c r="G43" s="192"/>
      <c r="H43" s="192"/>
    </row>
    <row r="44" spans="1:8" ht="21.75" customHeight="1" thickTop="1">
      <c r="A44" s="212" t="s">
        <v>0</v>
      </c>
      <c r="B44" s="219"/>
      <c r="C44" s="219"/>
      <c r="D44" s="213"/>
      <c r="E44" s="216" t="s">
        <v>4</v>
      </c>
      <c r="F44" s="133" t="s">
        <v>5</v>
      </c>
      <c r="G44" s="212" t="s">
        <v>7</v>
      </c>
      <c r="H44" s="213"/>
    </row>
    <row r="45" spans="1:8" ht="21.75" customHeight="1">
      <c r="A45" s="185" t="s">
        <v>1</v>
      </c>
      <c r="B45" s="186"/>
      <c r="C45" s="193" t="s">
        <v>3</v>
      </c>
      <c r="D45" s="194"/>
      <c r="E45" s="217"/>
      <c r="F45" s="41" t="s">
        <v>6</v>
      </c>
      <c r="G45" s="185" t="s">
        <v>3</v>
      </c>
      <c r="H45" s="186"/>
    </row>
    <row r="46" spans="1:8" ht="21.75" customHeight="1" thickBot="1">
      <c r="A46" s="214" t="s">
        <v>2</v>
      </c>
      <c r="B46" s="215"/>
      <c r="C46" s="214" t="s">
        <v>2</v>
      </c>
      <c r="D46" s="215"/>
      <c r="E46" s="218"/>
      <c r="F46" s="93"/>
      <c r="G46" s="190" t="s">
        <v>2</v>
      </c>
      <c r="H46" s="191"/>
    </row>
    <row r="47" spans="1:8" ht="22.5" customHeight="1" thickTop="1">
      <c r="A47" s="28"/>
      <c r="B47" s="28"/>
      <c r="C47" s="29">
        <f>Sheet1!D40</f>
        <v>3422</v>
      </c>
      <c r="D47" s="29">
        <f>Sheet1!E40</f>
        <v>0</v>
      </c>
      <c r="E47" s="103" t="s">
        <v>216</v>
      </c>
      <c r="F47" s="31" t="s">
        <v>218</v>
      </c>
      <c r="G47" s="29">
        <f>Sheet1!I40</f>
        <v>0</v>
      </c>
      <c r="H47" s="29">
        <f>Sheet1!J40</f>
        <v>0</v>
      </c>
    </row>
    <row r="48" spans="1:8" ht="22.5" customHeight="1">
      <c r="A48" s="28"/>
      <c r="B48" s="28"/>
      <c r="C48" s="29">
        <f>Sheet1!D41</f>
        <v>51361</v>
      </c>
      <c r="D48" s="29">
        <f>Sheet1!E41</f>
        <v>0</v>
      </c>
      <c r="E48" s="103" t="s">
        <v>178</v>
      </c>
      <c r="F48" s="31" t="s">
        <v>218</v>
      </c>
      <c r="G48" s="29">
        <f>Sheet1!I41</f>
        <v>0</v>
      </c>
      <c r="H48" s="29">
        <f>Sheet1!J41</f>
        <v>0</v>
      </c>
    </row>
    <row r="49" spans="1:8" ht="22.5" customHeight="1">
      <c r="A49" s="28"/>
      <c r="B49" s="28"/>
      <c r="C49" s="29">
        <f>Sheet1!D42</f>
        <v>18000</v>
      </c>
      <c r="D49" s="29">
        <f>Sheet1!E42</f>
        <v>0</v>
      </c>
      <c r="E49" s="103" t="s">
        <v>179</v>
      </c>
      <c r="F49" s="31" t="s">
        <v>218</v>
      </c>
      <c r="G49" s="29">
        <f>Sheet1!I42</f>
        <v>0</v>
      </c>
      <c r="H49" s="29">
        <f>Sheet1!J42</f>
        <v>0</v>
      </c>
    </row>
    <row r="50" spans="1:8" ht="22.5" customHeight="1">
      <c r="A50" s="28"/>
      <c r="B50" s="28"/>
      <c r="C50" s="29">
        <f>Sheet1!D43</f>
        <v>1427</v>
      </c>
      <c r="D50" s="29">
        <f>Sheet1!E43</f>
        <v>0</v>
      </c>
      <c r="E50" s="103" t="s">
        <v>217</v>
      </c>
      <c r="F50" s="31" t="s">
        <v>218</v>
      </c>
      <c r="G50" s="29">
        <f>Sheet1!I43</f>
        <v>0</v>
      </c>
      <c r="H50" s="29">
        <f>Sheet1!J43</f>
        <v>0</v>
      </c>
    </row>
    <row r="51" spans="1:8" ht="22.5" customHeight="1">
      <c r="A51" s="28"/>
      <c r="B51" s="28"/>
      <c r="C51" s="29">
        <f>Sheet1!D44</f>
        <v>37505</v>
      </c>
      <c r="D51" s="29">
        <f>Sheet1!E44</f>
        <v>0</v>
      </c>
      <c r="E51" s="103" t="s">
        <v>192</v>
      </c>
      <c r="F51" s="31" t="s">
        <v>218</v>
      </c>
      <c r="G51" s="29">
        <f>Sheet1!I44</f>
        <v>0</v>
      </c>
      <c r="H51" s="29">
        <f>Sheet1!J44</f>
        <v>0</v>
      </c>
    </row>
    <row r="52" spans="1:8" ht="22.5" customHeight="1">
      <c r="A52" s="28"/>
      <c r="B52" s="28"/>
      <c r="C52" s="29">
        <f>Sheet1!D45</f>
        <v>36132</v>
      </c>
      <c r="D52" s="29">
        <f>Sheet1!E45</f>
        <v>0</v>
      </c>
      <c r="E52" s="103" t="s">
        <v>197</v>
      </c>
      <c r="F52" s="31" t="s">
        <v>218</v>
      </c>
      <c r="G52" s="29">
        <f>Sheet1!I45</f>
        <v>0</v>
      </c>
      <c r="H52" s="29">
        <f>Sheet1!J45</f>
        <v>0</v>
      </c>
    </row>
    <row r="53" spans="1:8" ht="22.5" customHeight="1">
      <c r="A53" s="28"/>
      <c r="B53" s="28"/>
      <c r="C53" s="29">
        <f>Sheet1!D46</f>
        <v>7070</v>
      </c>
      <c r="D53" s="29">
        <f>Sheet1!E46</f>
        <v>0</v>
      </c>
      <c r="E53" s="103" t="s">
        <v>209</v>
      </c>
      <c r="F53" s="31" t="s">
        <v>218</v>
      </c>
      <c r="G53" s="29">
        <f>Sheet1!I46</f>
        <v>0</v>
      </c>
      <c r="H53" s="29">
        <f>Sheet1!J46</f>
        <v>0</v>
      </c>
    </row>
    <row r="54" spans="1:8" ht="22.5" customHeight="1">
      <c r="A54" s="28"/>
      <c r="B54" s="28"/>
      <c r="C54" s="29">
        <f>Sheet1!D47</f>
        <v>8580</v>
      </c>
      <c r="D54" s="29">
        <f>Sheet1!E47</f>
        <v>0</v>
      </c>
      <c r="E54" s="103" t="s">
        <v>313</v>
      </c>
      <c r="F54" s="31" t="s">
        <v>218</v>
      </c>
      <c r="G54" s="29">
        <f>Sheet1!I47</f>
        <v>0</v>
      </c>
      <c r="H54" s="29">
        <f>Sheet1!J47</f>
        <v>0</v>
      </c>
    </row>
    <row r="55" spans="1:256" ht="22.5" customHeight="1">
      <c r="A55" s="28"/>
      <c r="B55" s="28"/>
      <c r="C55" s="29">
        <f>Sheet1!D48</f>
        <v>0</v>
      </c>
      <c r="D55" s="29">
        <f>Sheet1!E48</f>
        <v>0</v>
      </c>
      <c r="E55" s="103" t="s">
        <v>181</v>
      </c>
      <c r="F55" s="31" t="s">
        <v>218</v>
      </c>
      <c r="G55" s="29">
        <f>Sheet1!I48</f>
        <v>0</v>
      </c>
      <c r="H55" s="29">
        <f>Sheet1!J48</f>
        <v>0</v>
      </c>
      <c r="O55" s="24">
        <f>Sheet1!Q48</f>
        <v>0</v>
      </c>
      <c r="P55" s="24">
        <f>Sheet1!R48</f>
        <v>0</v>
      </c>
      <c r="S55" s="24">
        <f>Sheet1!T48</f>
        <v>0</v>
      </c>
      <c r="T55" s="24">
        <f>Sheet1!U48</f>
        <v>0</v>
      </c>
      <c r="U55" s="24" t="s">
        <v>148</v>
      </c>
      <c r="V55" s="24" t="s">
        <v>110</v>
      </c>
      <c r="W55" s="24">
        <f>Sheet1!Y48</f>
        <v>0</v>
      </c>
      <c r="X55" s="24">
        <f>Sheet1!Z48</f>
        <v>0</v>
      </c>
      <c r="AA55" s="24">
        <f>Sheet1!AB48</f>
        <v>0</v>
      </c>
      <c r="AB55" s="24">
        <f>Sheet1!AC48</f>
        <v>0</v>
      </c>
      <c r="AC55" s="24" t="s">
        <v>148</v>
      </c>
      <c r="AD55" s="24" t="s">
        <v>110</v>
      </c>
      <c r="AE55" s="24">
        <f>Sheet1!AG48</f>
        <v>0</v>
      </c>
      <c r="AF55" s="24">
        <f>Sheet1!AH48</f>
        <v>0</v>
      </c>
      <c r="AI55" s="24">
        <f>Sheet1!AJ48</f>
        <v>0</v>
      </c>
      <c r="AJ55" s="24">
        <f>Sheet1!AK48</f>
        <v>0</v>
      </c>
      <c r="AK55" s="24" t="s">
        <v>148</v>
      </c>
      <c r="AL55" s="24" t="s">
        <v>110</v>
      </c>
      <c r="AM55" s="24">
        <f>Sheet1!AO48</f>
        <v>0</v>
      </c>
      <c r="AN55" s="24">
        <f>Sheet1!AP48</f>
        <v>0</v>
      </c>
      <c r="AQ55" s="24">
        <f>Sheet1!AR48</f>
        <v>0</v>
      </c>
      <c r="AR55" s="24">
        <f>Sheet1!AS48</f>
        <v>0</v>
      </c>
      <c r="AS55" s="24" t="s">
        <v>148</v>
      </c>
      <c r="AT55" s="24" t="s">
        <v>110</v>
      </c>
      <c r="AU55" s="24">
        <f>Sheet1!AW48</f>
        <v>0</v>
      </c>
      <c r="AV55" s="24">
        <f>Sheet1!AX48</f>
        <v>0</v>
      </c>
      <c r="AY55" s="24">
        <f>Sheet1!AZ48</f>
        <v>0</v>
      </c>
      <c r="AZ55" s="24">
        <f>Sheet1!BA48</f>
        <v>0</v>
      </c>
      <c r="BA55" s="24" t="s">
        <v>148</v>
      </c>
      <c r="BB55" s="24" t="s">
        <v>110</v>
      </c>
      <c r="BC55" s="24">
        <f>Sheet1!BE48</f>
        <v>0</v>
      </c>
      <c r="BD55" s="24">
        <f>Sheet1!BF48</f>
        <v>0</v>
      </c>
      <c r="BG55" s="24">
        <f>Sheet1!BH48</f>
        <v>0</v>
      </c>
      <c r="BH55" s="24">
        <f>Sheet1!BI48</f>
        <v>0</v>
      </c>
      <c r="BI55" s="24" t="s">
        <v>148</v>
      </c>
      <c r="BJ55" s="24" t="s">
        <v>110</v>
      </c>
      <c r="BK55" s="24">
        <f>Sheet1!BM48</f>
        <v>0</v>
      </c>
      <c r="BL55" s="24">
        <f>Sheet1!BN48</f>
        <v>0</v>
      </c>
      <c r="BO55" s="24">
        <f>Sheet1!BP48</f>
        <v>0</v>
      </c>
      <c r="BP55" s="24">
        <f>Sheet1!BQ48</f>
        <v>0</v>
      </c>
      <c r="BQ55" s="24" t="s">
        <v>148</v>
      </c>
      <c r="BR55" s="24" t="s">
        <v>110</v>
      </c>
      <c r="BS55" s="24">
        <f>Sheet1!BU48</f>
        <v>0</v>
      </c>
      <c r="BT55" s="24">
        <f>Sheet1!BV48</f>
        <v>0</v>
      </c>
      <c r="BW55" s="24">
        <f>Sheet1!BX48</f>
        <v>0</v>
      </c>
      <c r="BX55" s="24">
        <f>Sheet1!BY48</f>
        <v>0</v>
      </c>
      <c r="BY55" s="24" t="s">
        <v>148</v>
      </c>
      <c r="BZ55" s="24" t="s">
        <v>110</v>
      </c>
      <c r="CA55" s="24">
        <f>Sheet1!CC48</f>
        <v>0</v>
      </c>
      <c r="CB55" s="24">
        <f>Sheet1!CD48</f>
        <v>0</v>
      </c>
      <c r="CE55" s="24">
        <f>Sheet1!CF48</f>
        <v>0</v>
      </c>
      <c r="CF55" s="24">
        <f>Sheet1!CG48</f>
        <v>0</v>
      </c>
      <c r="CG55" s="24" t="s">
        <v>148</v>
      </c>
      <c r="CH55" s="24" t="s">
        <v>110</v>
      </c>
      <c r="CI55" s="24">
        <f>Sheet1!CK48</f>
        <v>0</v>
      </c>
      <c r="CJ55" s="24">
        <f>Sheet1!CL48</f>
        <v>0</v>
      </c>
      <c r="CM55" s="24">
        <f>Sheet1!CN48</f>
        <v>0</v>
      </c>
      <c r="CN55" s="24">
        <f>Sheet1!CO48</f>
        <v>0</v>
      </c>
      <c r="CO55" s="24" t="s">
        <v>148</v>
      </c>
      <c r="CP55" s="24" t="s">
        <v>110</v>
      </c>
      <c r="CQ55" s="24">
        <f>Sheet1!CS48</f>
        <v>0</v>
      </c>
      <c r="CR55" s="24">
        <f>Sheet1!CT48</f>
        <v>0</v>
      </c>
      <c r="CU55" s="24">
        <f>Sheet1!CV48</f>
        <v>0</v>
      </c>
      <c r="CV55" s="24">
        <f>Sheet1!CW48</f>
        <v>0</v>
      </c>
      <c r="CW55" s="24" t="s">
        <v>148</v>
      </c>
      <c r="CX55" s="24" t="s">
        <v>110</v>
      </c>
      <c r="CY55" s="24">
        <f>Sheet1!DA48</f>
        <v>0</v>
      </c>
      <c r="CZ55" s="24">
        <f>Sheet1!DB48</f>
        <v>0</v>
      </c>
      <c r="DC55" s="24">
        <f>Sheet1!DD48</f>
        <v>0</v>
      </c>
      <c r="DD55" s="24">
        <f>Sheet1!DE48</f>
        <v>0</v>
      </c>
      <c r="DE55" s="24" t="s">
        <v>148</v>
      </c>
      <c r="DF55" s="24" t="s">
        <v>110</v>
      </c>
      <c r="DG55" s="24">
        <f>Sheet1!DI48</f>
        <v>0</v>
      </c>
      <c r="DH55" s="24">
        <f>Sheet1!DJ48</f>
        <v>0</v>
      </c>
      <c r="DK55" s="24">
        <f>Sheet1!DL48</f>
        <v>0</v>
      </c>
      <c r="DL55" s="24">
        <f>Sheet1!DM48</f>
        <v>0</v>
      </c>
      <c r="DM55" s="24" t="s">
        <v>148</v>
      </c>
      <c r="DN55" s="24" t="s">
        <v>110</v>
      </c>
      <c r="DO55" s="24">
        <f>Sheet1!DQ48</f>
        <v>0</v>
      </c>
      <c r="DP55" s="24">
        <f>Sheet1!DR48</f>
        <v>0</v>
      </c>
      <c r="DS55" s="24">
        <f>Sheet1!DT48</f>
        <v>0</v>
      </c>
      <c r="DT55" s="24">
        <f>Sheet1!DU48</f>
        <v>0</v>
      </c>
      <c r="DU55" s="24" t="s">
        <v>148</v>
      </c>
      <c r="DV55" s="24" t="s">
        <v>110</v>
      </c>
      <c r="DW55" s="24">
        <f>Sheet1!DY48</f>
        <v>0</v>
      </c>
      <c r="DX55" s="24">
        <f>Sheet1!DZ48</f>
        <v>0</v>
      </c>
      <c r="EA55" s="24">
        <f>Sheet1!EB48</f>
        <v>0</v>
      </c>
      <c r="EB55" s="24">
        <f>Sheet1!EC48</f>
        <v>0</v>
      </c>
      <c r="EC55" s="24" t="s">
        <v>148</v>
      </c>
      <c r="ED55" s="24" t="s">
        <v>110</v>
      </c>
      <c r="EE55" s="24">
        <f>Sheet1!EG48</f>
        <v>0</v>
      </c>
      <c r="EF55" s="24">
        <f>Sheet1!EH48</f>
        <v>0</v>
      </c>
      <c r="EI55" s="24">
        <f>Sheet1!EJ48</f>
        <v>0</v>
      </c>
      <c r="EJ55" s="24">
        <f>Sheet1!EK48</f>
        <v>0</v>
      </c>
      <c r="EK55" s="24" t="s">
        <v>148</v>
      </c>
      <c r="EL55" s="24" t="s">
        <v>110</v>
      </c>
      <c r="EM55" s="24">
        <f>Sheet1!EO48</f>
        <v>0</v>
      </c>
      <c r="EN55" s="24">
        <f>Sheet1!EP48</f>
        <v>0</v>
      </c>
      <c r="EQ55" s="24">
        <f>Sheet1!ER48</f>
        <v>0</v>
      </c>
      <c r="ER55" s="24">
        <f>Sheet1!ES48</f>
        <v>0</v>
      </c>
      <c r="ES55" s="24" t="s">
        <v>148</v>
      </c>
      <c r="ET55" s="24" t="s">
        <v>110</v>
      </c>
      <c r="EU55" s="24">
        <f>Sheet1!EW48</f>
        <v>0</v>
      </c>
      <c r="EV55" s="24">
        <f>Sheet1!EX48</f>
        <v>0</v>
      </c>
      <c r="EY55" s="24">
        <f>Sheet1!EZ48</f>
        <v>0</v>
      </c>
      <c r="EZ55" s="24">
        <f>Sheet1!FA48</f>
        <v>0</v>
      </c>
      <c r="FA55" s="24" t="s">
        <v>148</v>
      </c>
      <c r="FB55" s="24" t="s">
        <v>110</v>
      </c>
      <c r="FC55" s="24">
        <f>Sheet1!FE48</f>
        <v>0</v>
      </c>
      <c r="FD55" s="24">
        <f>Sheet1!FF48</f>
        <v>0</v>
      </c>
      <c r="FG55" s="24">
        <f>Sheet1!FH48</f>
        <v>0</v>
      </c>
      <c r="FH55" s="24">
        <f>Sheet1!FI48</f>
        <v>0</v>
      </c>
      <c r="FI55" s="24" t="s">
        <v>148</v>
      </c>
      <c r="FJ55" s="24" t="s">
        <v>110</v>
      </c>
      <c r="FK55" s="24">
        <f>Sheet1!FM48</f>
        <v>0</v>
      </c>
      <c r="FL55" s="24">
        <f>Sheet1!FN48</f>
        <v>0</v>
      </c>
      <c r="FO55" s="24">
        <f>Sheet1!FP48</f>
        <v>0</v>
      </c>
      <c r="FP55" s="24">
        <f>Sheet1!FQ48</f>
        <v>0</v>
      </c>
      <c r="FQ55" s="24" t="s">
        <v>148</v>
      </c>
      <c r="FR55" s="24" t="s">
        <v>110</v>
      </c>
      <c r="FS55" s="24">
        <f>Sheet1!FU48</f>
        <v>0</v>
      </c>
      <c r="FT55" s="24">
        <f>Sheet1!FV48</f>
        <v>0</v>
      </c>
      <c r="FW55" s="24">
        <f>Sheet1!FX48</f>
        <v>0</v>
      </c>
      <c r="FX55" s="24">
        <f>Sheet1!FY48</f>
        <v>0</v>
      </c>
      <c r="FY55" s="24" t="s">
        <v>148</v>
      </c>
      <c r="FZ55" s="24" t="s">
        <v>110</v>
      </c>
      <c r="GA55" s="24">
        <f>Sheet1!GC48</f>
        <v>0</v>
      </c>
      <c r="GB55" s="24">
        <f>Sheet1!GD48</f>
        <v>0</v>
      </c>
      <c r="GE55" s="24">
        <f>Sheet1!GF48</f>
        <v>0</v>
      </c>
      <c r="GF55" s="24">
        <f>Sheet1!GG48</f>
        <v>0</v>
      </c>
      <c r="GG55" s="24" t="s">
        <v>148</v>
      </c>
      <c r="GH55" s="24" t="s">
        <v>110</v>
      </c>
      <c r="GI55" s="24">
        <f>Sheet1!GK48</f>
        <v>0</v>
      </c>
      <c r="GJ55" s="24">
        <f>Sheet1!GL48</f>
        <v>0</v>
      </c>
      <c r="GM55" s="24">
        <f>Sheet1!GN48</f>
        <v>0</v>
      </c>
      <c r="GN55" s="24">
        <f>Sheet1!GO48</f>
        <v>0</v>
      </c>
      <c r="GO55" s="24" t="s">
        <v>148</v>
      </c>
      <c r="GP55" s="24" t="s">
        <v>110</v>
      </c>
      <c r="GQ55" s="24">
        <f>Sheet1!GS48</f>
        <v>0</v>
      </c>
      <c r="GR55" s="24">
        <f>Sheet1!GT48</f>
        <v>0</v>
      </c>
      <c r="GU55" s="24">
        <f>Sheet1!GV48</f>
        <v>0</v>
      </c>
      <c r="GV55" s="24">
        <f>Sheet1!GW48</f>
        <v>0</v>
      </c>
      <c r="GW55" s="24" t="s">
        <v>148</v>
      </c>
      <c r="GX55" s="24" t="s">
        <v>110</v>
      </c>
      <c r="GY55" s="24">
        <f>Sheet1!HA48</f>
        <v>0</v>
      </c>
      <c r="GZ55" s="24">
        <f>Sheet1!HB48</f>
        <v>0</v>
      </c>
      <c r="HC55" s="24">
        <f>Sheet1!HD48</f>
        <v>0</v>
      </c>
      <c r="HD55" s="24">
        <f>Sheet1!HE48</f>
        <v>0</v>
      </c>
      <c r="HE55" s="24" t="s">
        <v>148</v>
      </c>
      <c r="HF55" s="24" t="s">
        <v>110</v>
      </c>
      <c r="HG55" s="24">
        <f>Sheet1!HI48</f>
        <v>0</v>
      </c>
      <c r="HH55" s="24">
        <f>Sheet1!HJ48</f>
        <v>0</v>
      </c>
      <c r="HK55" s="24">
        <f>Sheet1!HL48</f>
        <v>0</v>
      </c>
      <c r="HL55" s="24">
        <f>Sheet1!HM48</f>
        <v>0</v>
      </c>
      <c r="HM55" s="24" t="s">
        <v>148</v>
      </c>
      <c r="HN55" s="24" t="s">
        <v>110</v>
      </c>
      <c r="HO55" s="24">
        <f>Sheet1!HQ48</f>
        <v>0</v>
      </c>
      <c r="HP55" s="24">
        <f>Sheet1!HR48</f>
        <v>0</v>
      </c>
      <c r="HS55" s="24">
        <f>Sheet1!HT48</f>
        <v>0</v>
      </c>
      <c r="HT55" s="24">
        <f>Sheet1!HU48</f>
        <v>0</v>
      </c>
      <c r="HU55" s="24" t="s">
        <v>148</v>
      </c>
      <c r="HV55" s="24" t="s">
        <v>110</v>
      </c>
      <c r="HW55" s="24">
        <f>Sheet1!HY48</f>
        <v>0</v>
      </c>
      <c r="HX55" s="24">
        <f>Sheet1!HZ48</f>
        <v>0</v>
      </c>
      <c r="IA55" s="24">
        <f>Sheet1!IB48</f>
        <v>0</v>
      </c>
      <c r="IB55" s="24">
        <f>Sheet1!IC48</f>
        <v>0</v>
      </c>
      <c r="IC55" s="24" t="s">
        <v>148</v>
      </c>
      <c r="ID55" s="24" t="s">
        <v>110</v>
      </c>
      <c r="IE55" s="24">
        <f>Sheet1!IG48</f>
        <v>0</v>
      </c>
      <c r="IF55" s="24">
        <f>Sheet1!IH48</f>
        <v>0</v>
      </c>
      <c r="II55" s="24">
        <f>Sheet1!IJ48</f>
        <v>0</v>
      </c>
      <c r="IJ55" s="24">
        <f>Sheet1!IK48</f>
        <v>0</v>
      </c>
      <c r="IK55" s="24" t="s">
        <v>148</v>
      </c>
      <c r="IL55" s="24" t="s">
        <v>110</v>
      </c>
      <c r="IM55" s="24">
        <f>Sheet1!IO48</f>
        <v>0</v>
      </c>
      <c r="IN55" s="24">
        <f>Sheet1!IP48</f>
        <v>0</v>
      </c>
      <c r="IQ55" s="24">
        <f>Sheet1!IR48</f>
        <v>0</v>
      </c>
      <c r="IR55" s="24">
        <f>Sheet1!IS48</f>
        <v>0</v>
      </c>
      <c r="IS55" s="24" t="s">
        <v>148</v>
      </c>
      <c r="IT55" s="24" t="s">
        <v>110</v>
      </c>
      <c r="IU55" s="24" t="e">
        <f>Sheet1!#REF!</f>
        <v>#REF!</v>
      </c>
      <c r="IV55" s="24" t="e">
        <f>Sheet1!#REF!</f>
        <v>#REF!</v>
      </c>
    </row>
    <row r="56" spans="1:256" ht="22.5" customHeight="1">
      <c r="A56" s="28"/>
      <c r="B56" s="28"/>
      <c r="C56" s="29">
        <f>Sheet1!D49</f>
        <v>0</v>
      </c>
      <c r="D56" s="29">
        <f>Sheet1!E49</f>
        <v>0</v>
      </c>
      <c r="E56" s="103" t="s">
        <v>182</v>
      </c>
      <c r="F56" s="31" t="s">
        <v>218</v>
      </c>
      <c r="G56" s="29">
        <f>Sheet1!I49</f>
        <v>0</v>
      </c>
      <c r="H56" s="29">
        <f>Sheet1!J49</f>
        <v>0</v>
      </c>
      <c r="O56" s="24">
        <f>Sheet1!Q49</f>
        <v>0</v>
      </c>
      <c r="P56" s="24">
        <f>Sheet1!R49</f>
        <v>0</v>
      </c>
      <c r="S56" s="24">
        <f>Sheet1!T49</f>
        <v>0</v>
      </c>
      <c r="T56" s="24">
        <f>Sheet1!U49</f>
        <v>0</v>
      </c>
      <c r="U56" s="24" t="s">
        <v>148</v>
      </c>
      <c r="V56" s="24" t="s">
        <v>110</v>
      </c>
      <c r="W56" s="24">
        <f>Sheet1!Y49</f>
        <v>0</v>
      </c>
      <c r="X56" s="24">
        <f>Sheet1!Z49</f>
        <v>0</v>
      </c>
      <c r="AA56" s="24">
        <f>Sheet1!AB49</f>
        <v>0</v>
      </c>
      <c r="AB56" s="24">
        <f>Sheet1!AC49</f>
        <v>0</v>
      </c>
      <c r="AC56" s="24" t="s">
        <v>148</v>
      </c>
      <c r="AD56" s="24" t="s">
        <v>110</v>
      </c>
      <c r="AE56" s="24">
        <f>Sheet1!AG49</f>
        <v>0</v>
      </c>
      <c r="AF56" s="24">
        <f>Sheet1!AH49</f>
        <v>0</v>
      </c>
      <c r="AI56" s="24">
        <f>Sheet1!AJ49</f>
        <v>0</v>
      </c>
      <c r="AJ56" s="24">
        <f>Sheet1!AK49</f>
        <v>0</v>
      </c>
      <c r="AK56" s="24" t="s">
        <v>148</v>
      </c>
      <c r="AL56" s="24" t="s">
        <v>110</v>
      </c>
      <c r="AM56" s="24">
        <f>Sheet1!AO49</f>
        <v>0</v>
      </c>
      <c r="AN56" s="24">
        <f>Sheet1!AP49</f>
        <v>0</v>
      </c>
      <c r="AQ56" s="24">
        <f>Sheet1!AR49</f>
        <v>0</v>
      </c>
      <c r="AR56" s="24">
        <f>Sheet1!AS49</f>
        <v>0</v>
      </c>
      <c r="AS56" s="24" t="s">
        <v>148</v>
      </c>
      <c r="AT56" s="24" t="s">
        <v>110</v>
      </c>
      <c r="AU56" s="24">
        <f>Sheet1!AW49</f>
        <v>0</v>
      </c>
      <c r="AV56" s="24">
        <f>Sheet1!AX49</f>
        <v>0</v>
      </c>
      <c r="AY56" s="24">
        <f>Sheet1!AZ49</f>
        <v>0</v>
      </c>
      <c r="AZ56" s="24">
        <f>Sheet1!BA49</f>
        <v>0</v>
      </c>
      <c r="BA56" s="24" t="s">
        <v>148</v>
      </c>
      <c r="BB56" s="24" t="s">
        <v>110</v>
      </c>
      <c r="BC56" s="24">
        <f>Sheet1!BE49</f>
        <v>0</v>
      </c>
      <c r="BD56" s="24">
        <f>Sheet1!BF49</f>
        <v>0</v>
      </c>
      <c r="BG56" s="24">
        <f>Sheet1!BH49</f>
        <v>0</v>
      </c>
      <c r="BH56" s="24">
        <f>Sheet1!BI49</f>
        <v>0</v>
      </c>
      <c r="BI56" s="24" t="s">
        <v>148</v>
      </c>
      <c r="BJ56" s="24" t="s">
        <v>110</v>
      </c>
      <c r="BK56" s="24">
        <f>Sheet1!BM49</f>
        <v>0</v>
      </c>
      <c r="BL56" s="24">
        <f>Sheet1!BN49</f>
        <v>0</v>
      </c>
      <c r="BO56" s="24">
        <f>Sheet1!BP49</f>
        <v>0</v>
      </c>
      <c r="BP56" s="24">
        <f>Sheet1!BQ49</f>
        <v>0</v>
      </c>
      <c r="BQ56" s="24" t="s">
        <v>148</v>
      </c>
      <c r="BR56" s="24" t="s">
        <v>110</v>
      </c>
      <c r="BS56" s="24">
        <f>Sheet1!BU49</f>
        <v>0</v>
      </c>
      <c r="BT56" s="24">
        <f>Sheet1!BV49</f>
        <v>0</v>
      </c>
      <c r="BW56" s="24">
        <f>Sheet1!BX49</f>
        <v>0</v>
      </c>
      <c r="BX56" s="24">
        <f>Sheet1!BY49</f>
        <v>0</v>
      </c>
      <c r="BY56" s="24" t="s">
        <v>148</v>
      </c>
      <c r="BZ56" s="24" t="s">
        <v>110</v>
      </c>
      <c r="CA56" s="24">
        <f>Sheet1!CC49</f>
        <v>0</v>
      </c>
      <c r="CB56" s="24">
        <f>Sheet1!CD49</f>
        <v>0</v>
      </c>
      <c r="CE56" s="24">
        <f>Sheet1!CF49</f>
        <v>0</v>
      </c>
      <c r="CF56" s="24">
        <f>Sheet1!CG49</f>
        <v>0</v>
      </c>
      <c r="CG56" s="24" t="s">
        <v>148</v>
      </c>
      <c r="CH56" s="24" t="s">
        <v>110</v>
      </c>
      <c r="CI56" s="24">
        <f>Sheet1!CK49</f>
        <v>0</v>
      </c>
      <c r="CJ56" s="24">
        <f>Sheet1!CL49</f>
        <v>0</v>
      </c>
      <c r="CM56" s="24">
        <f>Sheet1!CN49</f>
        <v>0</v>
      </c>
      <c r="CN56" s="24">
        <f>Sheet1!CO49</f>
        <v>0</v>
      </c>
      <c r="CO56" s="24" t="s">
        <v>148</v>
      </c>
      <c r="CP56" s="24" t="s">
        <v>110</v>
      </c>
      <c r="CQ56" s="24">
        <f>Sheet1!CS49</f>
        <v>0</v>
      </c>
      <c r="CR56" s="24">
        <f>Sheet1!CT49</f>
        <v>0</v>
      </c>
      <c r="CU56" s="24">
        <f>Sheet1!CV49</f>
        <v>0</v>
      </c>
      <c r="CV56" s="24">
        <f>Sheet1!CW49</f>
        <v>0</v>
      </c>
      <c r="CW56" s="24" t="s">
        <v>148</v>
      </c>
      <c r="CX56" s="24" t="s">
        <v>110</v>
      </c>
      <c r="CY56" s="24">
        <f>Sheet1!DA49</f>
        <v>0</v>
      </c>
      <c r="CZ56" s="24">
        <f>Sheet1!DB49</f>
        <v>0</v>
      </c>
      <c r="DC56" s="24">
        <f>Sheet1!DD49</f>
        <v>0</v>
      </c>
      <c r="DD56" s="24">
        <f>Sheet1!DE49</f>
        <v>0</v>
      </c>
      <c r="DE56" s="24" t="s">
        <v>148</v>
      </c>
      <c r="DF56" s="24" t="s">
        <v>110</v>
      </c>
      <c r="DG56" s="24">
        <f>Sheet1!DI49</f>
        <v>0</v>
      </c>
      <c r="DH56" s="24">
        <f>Sheet1!DJ49</f>
        <v>0</v>
      </c>
      <c r="DK56" s="24">
        <f>Sheet1!DL49</f>
        <v>0</v>
      </c>
      <c r="DL56" s="24">
        <f>Sheet1!DM49</f>
        <v>0</v>
      </c>
      <c r="DM56" s="24" t="s">
        <v>148</v>
      </c>
      <c r="DN56" s="24" t="s">
        <v>110</v>
      </c>
      <c r="DO56" s="24">
        <f>Sheet1!DQ49</f>
        <v>0</v>
      </c>
      <c r="DP56" s="24">
        <f>Sheet1!DR49</f>
        <v>0</v>
      </c>
      <c r="DS56" s="24">
        <f>Sheet1!DT49</f>
        <v>0</v>
      </c>
      <c r="DT56" s="24">
        <f>Sheet1!DU49</f>
        <v>0</v>
      </c>
      <c r="DU56" s="24" t="s">
        <v>148</v>
      </c>
      <c r="DV56" s="24" t="s">
        <v>110</v>
      </c>
      <c r="DW56" s="24">
        <f>Sheet1!DY49</f>
        <v>0</v>
      </c>
      <c r="DX56" s="24">
        <f>Sheet1!DZ49</f>
        <v>0</v>
      </c>
      <c r="EA56" s="24">
        <f>Sheet1!EB49</f>
        <v>0</v>
      </c>
      <c r="EB56" s="24">
        <f>Sheet1!EC49</f>
        <v>0</v>
      </c>
      <c r="EC56" s="24" t="s">
        <v>148</v>
      </c>
      <c r="ED56" s="24" t="s">
        <v>110</v>
      </c>
      <c r="EE56" s="24">
        <f>Sheet1!EG49</f>
        <v>0</v>
      </c>
      <c r="EF56" s="24">
        <f>Sheet1!EH49</f>
        <v>0</v>
      </c>
      <c r="EI56" s="24">
        <f>Sheet1!EJ49</f>
        <v>0</v>
      </c>
      <c r="EJ56" s="24">
        <f>Sheet1!EK49</f>
        <v>0</v>
      </c>
      <c r="EK56" s="24" t="s">
        <v>148</v>
      </c>
      <c r="EL56" s="24" t="s">
        <v>110</v>
      </c>
      <c r="EM56" s="24">
        <f>Sheet1!EO49</f>
        <v>0</v>
      </c>
      <c r="EN56" s="24">
        <f>Sheet1!EP49</f>
        <v>0</v>
      </c>
      <c r="EQ56" s="24">
        <f>Sheet1!ER49</f>
        <v>0</v>
      </c>
      <c r="ER56" s="24">
        <f>Sheet1!ES49</f>
        <v>0</v>
      </c>
      <c r="ES56" s="24" t="s">
        <v>148</v>
      </c>
      <c r="ET56" s="24" t="s">
        <v>110</v>
      </c>
      <c r="EU56" s="24">
        <f>Sheet1!EW49</f>
        <v>0</v>
      </c>
      <c r="EV56" s="24">
        <f>Sheet1!EX49</f>
        <v>0</v>
      </c>
      <c r="EY56" s="24">
        <f>Sheet1!EZ49</f>
        <v>0</v>
      </c>
      <c r="EZ56" s="24">
        <f>Sheet1!FA49</f>
        <v>0</v>
      </c>
      <c r="FA56" s="24" t="s">
        <v>148</v>
      </c>
      <c r="FB56" s="24" t="s">
        <v>110</v>
      </c>
      <c r="FC56" s="24">
        <f>Sheet1!FE49</f>
        <v>0</v>
      </c>
      <c r="FD56" s="24">
        <f>Sheet1!FF49</f>
        <v>0</v>
      </c>
      <c r="FG56" s="24">
        <f>Sheet1!FH49</f>
        <v>0</v>
      </c>
      <c r="FH56" s="24">
        <f>Sheet1!FI49</f>
        <v>0</v>
      </c>
      <c r="FI56" s="24" t="s">
        <v>148</v>
      </c>
      <c r="FJ56" s="24" t="s">
        <v>110</v>
      </c>
      <c r="FK56" s="24">
        <f>Sheet1!FM49</f>
        <v>0</v>
      </c>
      <c r="FL56" s="24">
        <f>Sheet1!FN49</f>
        <v>0</v>
      </c>
      <c r="FO56" s="24">
        <f>Sheet1!FP49</f>
        <v>0</v>
      </c>
      <c r="FP56" s="24">
        <f>Sheet1!FQ49</f>
        <v>0</v>
      </c>
      <c r="FQ56" s="24" t="s">
        <v>148</v>
      </c>
      <c r="FR56" s="24" t="s">
        <v>110</v>
      </c>
      <c r="FS56" s="24">
        <f>Sheet1!FU49</f>
        <v>0</v>
      </c>
      <c r="FT56" s="24">
        <f>Sheet1!FV49</f>
        <v>0</v>
      </c>
      <c r="FW56" s="24">
        <f>Sheet1!FX49</f>
        <v>0</v>
      </c>
      <c r="FX56" s="24">
        <f>Sheet1!FY49</f>
        <v>0</v>
      </c>
      <c r="FY56" s="24" t="s">
        <v>148</v>
      </c>
      <c r="FZ56" s="24" t="s">
        <v>110</v>
      </c>
      <c r="GA56" s="24">
        <f>Sheet1!GC49</f>
        <v>0</v>
      </c>
      <c r="GB56" s="24">
        <f>Sheet1!GD49</f>
        <v>0</v>
      </c>
      <c r="GE56" s="24">
        <f>Sheet1!GF49</f>
        <v>0</v>
      </c>
      <c r="GF56" s="24">
        <f>Sheet1!GG49</f>
        <v>0</v>
      </c>
      <c r="GG56" s="24" t="s">
        <v>148</v>
      </c>
      <c r="GH56" s="24" t="s">
        <v>110</v>
      </c>
      <c r="GI56" s="24">
        <f>Sheet1!GK49</f>
        <v>0</v>
      </c>
      <c r="GJ56" s="24">
        <f>Sheet1!GL49</f>
        <v>0</v>
      </c>
      <c r="GM56" s="24">
        <f>Sheet1!GN49</f>
        <v>0</v>
      </c>
      <c r="GN56" s="24">
        <f>Sheet1!GO49</f>
        <v>0</v>
      </c>
      <c r="GO56" s="24" t="s">
        <v>148</v>
      </c>
      <c r="GP56" s="24" t="s">
        <v>110</v>
      </c>
      <c r="GQ56" s="24">
        <f>Sheet1!GS49</f>
        <v>0</v>
      </c>
      <c r="GR56" s="24">
        <f>Sheet1!GT49</f>
        <v>0</v>
      </c>
      <c r="GU56" s="24">
        <f>Sheet1!GV49</f>
        <v>0</v>
      </c>
      <c r="GV56" s="24">
        <f>Sheet1!GW49</f>
        <v>0</v>
      </c>
      <c r="GW56" s="24" t="s">
        <v>148</v>
      </c>
      <c r="GX56" s="24" t="s">
        <v>110</v>
      </c>
      <c r="GY56" s="24">
        <f>Sheet1!HA49</f>
        <v>0</v>
      </c>
      <c r="GZ56" s="24">
        <f>Sheet1!HB49</f>
        <v>0</v>
      </c>
      <c r="HC56" s="24">
        <f>Sheet1!HD49</f>
        <v>0</v>
      </c>
      <c r="HD56" s="24">
        <f>Sheet1!HE49</f>
        <v>0</v>
      </c>
      <c r="HE56" s="24" t="s">
        <v>148</v>
      </c>
      <c r="HF56" s="24" t="s">
        <v>110</v>
      </c>
      <c r="HG56" s="24">
        <f>Sheet1!HI49</f>
        <v>0</v>
      </c>
      <c r="HH56" s="24">
        <f>Sheet1!HJ49</f>
        <v>0</v>
      </c>
      <c r="HK56" s="24">
        <f>Sheet1!HL49</f>
        <v>0</v>
      </c>
      <c r="HL56" s="24">
        <f>Sheet1!HM49</f>
        <v>0</v>
      </c>
      <c r="HM56" s="24" t="s">
        <v>148</v>
      </c>
      <c r="HN56" s="24" t="s">
        <v>110</v>
      </c>
      <c r="HO56" s="24">
        <f>Sheet1!HQ49</f>
        <v>0</v>
      </c>
      <c r="HP56" s="24">
        <f>Sheet1!HR49</f>
        <v>0</v>
      </c>
      <c r="HS56" s="24">
        <f>Sheet1!HT49</f>
        <v>0</v>
      </c>
      <c r="HT56" s="24">
        <f>Sheet1!HU49</f>
        <v>0</v>
      </c>
      <c r="HU56" s="24" t="s">
        <v>148</v>
      </c>
      <c r="HV56" s="24" t="s">
        <v>110</v>
      </c>
      <c r="HW56" s="24">
        <f>Sheet1!HY49</f>
        <v>0</v>
      </c>
      <c r="HX56" s="24">
        <f>Sheet1!HZ49</f>
        <v>0</v>
      </c>
      <c r="IA56" s="24">
        <f>Sheet1!IB49</f>
        <v>0</v>
      </c>
      <c r="IB56" s="24">
        <f>Sheet1!IC49</f>
        <v>0</v>
      </c>
      <c r="IC56" s="24" t="s">
        <v>148</v>
      </c>
      <c r="ID56" s="24" t="s">
        <v>110</v>
      </c>
      <c r="IE56" s="24">
        <f>Sheet1!IG49</f>
        <v>0</v>
      </c>
      <c r="IF56" s="24">
        <f>Sheet1!IH49</f>
        <v>0</v>
      </c>
      <c r="II56" s="24">
        <f>Sheet1!IJ49</f>
        <v>0</v>
      </c>
      <c r="IJ56" s="24">
        <f>Sheet1!IK49</f>
        <v>0</v>
      </c>
      <c r="IK56" s="24" t="s">
        <v>148</v>
      </c>
      <c r="IL56" s="24" t="s">
        <v>110</v>
      </c>
      <c r="IM56" s="24">
        <f>Sheet1!IO49</f>
        <v>0</v>
      </c>
      <c r="IN56" s="24">
        <f>Sheet1!IP49</f>
        <v>0</v>
      </c>
      <c r="IQ56" s="24">
        <f>Sheet1!IR49</f>
        <v>0</v>
      </c>
      <c r="IR56" s="24">
        <f>Sheet1!IS49</f>
        <v>0</v>
      </c>
      <c r="IS56" s="24" t="s">
        <v>148</v>
      </c>
      <c r="IT56" s="24" t="s">
        <v>110</v>
      </c>
      <c r="IU56" s="24" t="e">
        <f>Sheet1!#REF!</f>
        <v>#REF!</v>
      </c>
      <c r="IV56" s="24" t="e">
        <f>Sheet1!#REF!</f>
        <v>#REF!</v>
      </c>
    </row>
    <row r="57" spans="1:256" ht="22.5" customHeight="1">
      <c r="A57" s="28"/>
      <c r="B57" s="28"/>
      <c r="C57" s="29">
        <f>Sheet1!D50</f>
        <v>0</v>
      </c>
      <c r="D57" s="29">
        <f>Sheet1!E50</f>
        <v>0</v>
      </c>
      <c r="E57" s="103" t="s">
        <v>183</v>
      </c>
      <c r="F57" s="31" t="s">
        <v>218</v>
      </c>
      <c r="G57" s="29">
        <f>Sheet1!I50</f>
        <v>0</v>
      </c>
      <c r="H57" s="29">
        <f>Sheet1!J50</f>
        <v>0</v>
      </c>
      <c r="O57" s="24">
        <f>Sheet1!Q50</f>
        <v>0</v>
      </c>
      <c r="P57" s="24">
        <f>Sheet1!R50</f>
        <v>0</v>
      </c>
      <c r="S57" s="24">
        <f>Sheet1!T50</f>
        <v>0</v>
      </c>
      <c r="T57" s="24">
        <f>Sheet1!U50</f>
        <v>0</v>
      </c>
      <c r="U57" s="24" t="s">
        <v>148</v>
      </c>
      <c r="V57" s="24" t="s">
        <v>110</v>
      </c>
      <c r="W57" s="24">
        <f>Sheet1!Y50</f>
        <v>0</v>
      </c>
      <c r="X57" s="24">
        <f>Sheet1!Z50</f>
        <v>0</v>
      </c>
      <c r="AA57" s="24">
        <f>Sheet1!AB50</f>
        <v>0</v>
      </c>
      <c r="AB57" s="24">
        <f>Sheet1!AC50</f>
        <v>0</v>
      </c>
      <c r="AC57" s="24" t="s">
        <v>148</v>
      </c>
      <c r="AD57" s="24" t="s">
        <v>110</v>
      </c>
      <c r="AE57" s="24">
        <f>Sheet1!AG50</f>
        <v>0</v>
      </c>
      <c r="AF57" s="24">
        <f>Sheet1!AH50</f>
        <v>0</v>
      </c>
      <c r="AI57" s="24">
        <f>Sheet1!AJ50</f>
        <v>0</v>
      </c>
      <c r="AJ57" s="24">
        <f>Sheet1!AK50</f>
        <v>0</v>
      </c>
      <c r="AK57" s="24" t="s">
        <v>148</v>
      </c>
      <c r="AL57" s="24" t="s">
        <v>110</v>
      </c>
      <c r="AM57" s="24">
        <f>Sheet1!AO50</f>
        <v>0</v>
      </c>
      <c r="AN57" s="24">
        <f>Sheet1!AP50</f>
        <v>0</v>
      </c>
      <c r="AQ57" s="24">
        <f>Sheet1!AR50</f>
        <v>0</v>
      </c>
      <c r="AR57" s="24">
        <f>Sheet1!AS50</f>
        <v>0</v>
      </c>
      <c r="AS57" s="24" t="s">
        <v>148</v>
      </c>
      <c r="AT57" s="24" t="s">
        <v>110</v>
      </c>
      <c r="AU57" s="24">
        <f>Sheet1!AW50</f>
        <v>0</v>
      </c>
      <c r="AV57" s="24">
        <f>Sheet1!AX50</f>
        <v>0</v>
      </c>
      <c r="AY57" s="24">
        <f>Sheet1!AZ50</f>
        <v>0</v>
      </c>
      <c r="AZ57" s="24">
        <f>Sheet1!BA50</f>
        <v>0</v>
      </c>
      <c r="BA57" s="24" t="s">
        <v>148</v>
      </c>
      <c r="BB57" s="24" t="s">
        <v>110</v>
      </c>
      <c r="BC57" s="24">
        <f>Sheet1!BE50</f>
        <v>0</v>
      </c>
      <c r="BD57" s="24">
        <f>Sheet1!BF50</f>
        <v>0</v>
      </c>
      <c r="BG57" s="24">
        <f>Sheet1!BH50</f>
        <v>0</v>
      </c>
      <c r="BH57" s="24">
        <f>Sheet1!BI50</f>
        <v>0</v>
      </c>
      <c r="BI57" s="24" t="s">
        <v>148</v>
      </c>
      <c r="BJ57" s="24" t="s">
        <v>110</v>
      </c>
      <c r="BK57" s="24">
        <f>Sheet1!BM50</f>
        <v>0</v>
      </c>
      <c r="BL57" s="24">
        <f>Sheet1!BN50</f>
        <v>0</v>
      </c>
      <c r="BO57" s="24">
        <f>Sheet1!BP50</f>
        <v>0</v>
      </c>
      <c r="BP57" s="24">
        <f>Sheet1!BQ50</f>
        <v>0</v>
      </c>
      <c r="BQ57" s="24" t="s">
        <v>148</v>
      </c>
      <c r="BR57" s="24" t="s">
        <v>110</v>
      </c>
      <c r="BS57" s="24">
        <f>Sheet1!BU50</f>
        <v>0</v>
      </c>
      <c r="BT57" s="24">
        <f>Sheet1!BV50</f>
        <v>0</v>
      </c>
      <c r="BW57" s="24">
        <f>Sheet1!BX50</f>
        <v>0</v>
      </c>
      <c r="BX57" s="24">
        <f>Sheet1!BY50</f>
        <v>0</v>
      </c>
      <c r="BY57" s="24" t="s">
        <v>148</v>
      </c>
      <c r="BZ57" s="24" t="s">
        <v>110</v>
      </c>
      <c r="CA57" s="24">
        <f>Sheet1!CC50</f>
        <v>0</v>
      </c>
      <c r="CB57" s="24">
        <f>Sheet1!CD50</f>
        <v>0</v>
      </c>
      <c r="CE57" s="24">
        <f>Sheet1!CF50</f>
        <v>0</v>
      </c>
      <c r="CF57" s="24">
        <f>Sheet1!CG50</f>
        <v>0</v>
      </c>
      <c r="CG57" s="24" t="s">
        <v>148</v>
      </c>
      <c r="CH57" s="24" t="s">
        <v>110</v>
      </c>
      <c r="CI57" s="24">
        <f>Sheet1!CK50</f>
        <v>0</v>
      </c>
      <c r="CJ57" s="24">
        <f>Sheet1!CL50</f>
        <v>0</v>
      </c>
      <c r="CM57" s="24">
        <f>Sheet1!CN50</f>
        <v>0</v>
      </c>
      <c r="CN57" s="24">
        <f>Sheet1!CO50</f>
        <v>0</v>
      </c>
      <c r="CO57" s="24" t="s">
        <v>148</v>
      </c>
      <c r="CP57" s="24" t="s">
        <v>110</v>
      </c>
      <c r="CQ57" s="24">
        <f>Sheet1!CS50</f>
        <v>0</v>
      </c>
      <c r="CR57" s="24">
        <f>Sheet1!CT50</f>
        <v>0</v>
      </c>
      <c r="CU57" s="24">
        <f>Sheet1!CV50</f>
        <v>0</v>
      </c>
      <c r="CV57" s="24">
        <f>Sheet1!CW50</f>
        <v>0</v>
      </c>
      <c r="CW57" s="24" t="s">
        <v>148</v>
      </c>
      <c r="CX57" s="24" t="s">
        <v>110</v>
      </c>
      <c r="CY57" s="24">
        <f>Sheet1!DA50</f>
        <v>0</v>
      </c>
      <c r="CZ57" s="24">
        <f>Sheet1!DB50</f>
        <v>0</v>
      </c>
      <c r="DC57" s="24">
        <f>Sheet1!DD50</f>
        <v>0</v>
      </c>
      <c r="DD57" s="24">
        <f>Sheet1!DE50</f>
        <v>0</v>
      </c>
      <c r="DE57" s="24" t="s">
        <v>148</v>
      </c>
      <c r="DF57" s="24" t="s">
        <v>110</v>
      </c>
      <c r="DG57" s="24">
        <f>Sheet1!DI50</f>
        <v>0</v>
      </c>
      <c r="DH57" s="24">
        <f>Sheet1!DJ50</f>
        <v>0</v>
      </c>
      <c r="DK57" s="24">
        <f>Sheet1!DL50</f>
        <v>0</v>
      </c>
      <c r="DL57" s="24">
        <f>Sheet1!DM50</f>
        <v>0</v>
      </c>
      <c r="DM57" s="24" t="s">
        <v>148</v>
      </c>
      <c r="DN57" s="24" t="s">
        <v>110</v>
      </c>
      <c r="DO57" s="24">
        <f>Sheet1!DQ50</f>
        <v>0</v>
      </c>
      <c r="DP57" s="24">
        <f>Sheet1!DR50</f>
        <v>0</v>
      </c>
      <c r="DS57" s="24">
        <f>Sheet1!DT50</f>
        <v>0</v>
      </c>
      <c r="DT57" s="24">
        <f>Sheet1!DU50</f>
        <v>0</v>
      </c>
      <c r="DU57" s="24" t="s">
        <v>148</v>
      </c>
      <c r="DV57" s="24" t="s">
        <v>110</v>
      </c>
      <c r="DW57" s="24">
        <f>Sheet1!DY50</f>
        <v>0</v>
      </c>
      <c r="DX57" s="24">
        <f>Sheet1!DZ50</f>
        <v>0</v>
      </c>
      <c r="EA57" s="24">
        <f>Sheet1!EB50</f>
        <v>0</v>
      </c>
      <c r="EB57" s="24">
        <f>Sheet1!EC50</f>
        <v>0</v>
      </c>
      <c r="EC57" s="24" t="s">
        <v>148</v>
      </c>
      <c r="ED57" s="24" t="s">
        <v>110</v>
      </c>
      <c r="EE57" s="24">
        <f>Sheet1!EG50</f>
        <v>0</v>
      </c>
      <c r="EF57" s="24">
        <f>Sheet1!EH50</f>
        <v>0</v>
      </c>
      <c r="EI57" s="24">
        <f>Sheet1!EJ50</f>
        <v>0</v>
      </c>
      <c r="EJ57" s="24">
        <f>Sheet1!EK50</f>
        <v>0</v>
      </c>
      <c r="EK57" s="24" t="s">
        <v>148</v>
      </c>
      <c r="EL57" s="24" t="s">
        <v>110</v>
      </c>
      <c r="EM57" s="24">
        <f>Sheet1!EO50</f>
        <v>0</v>
      </c>
      <c r="EN57" s="24">
        <f>Sheet1!EP50</f>
        <v>0</v>
      </c>
      <c r="EQ57" s="24">
        <f>Sheet1!ER50</f>
        <v>0</v>
      </c>
      <c r="ER57" s="24">
        <f>Sheet1!ES50</f>
        <v>0</v>
      </c>
      <c r="ES57" s="24" t="s">
        <v>148</v>
      </c>
      <c r="ET57" s="24" t="s">
        <v>110</v>
      </c>
      <c r="EU57" s="24">
        <f>Sheet1!EW50</f>
        <v>0</v>
      </c>
      <c r="EV57" s="24">
        <f>Sheet1!EX50</f>
        <v>0</v>
      </c>
      <c r="EY57" s="24">
        <f>Sheet1!EZ50</f>
        <v>0</v>
      </c>
      <c r="EZ57" s="24">
        <f>Sheet1!FA50</f>
        <v>0</v>
      </c>
      <c r="FA57" s="24" t="s">
        <v>148</v>
      </c>
      <c r="FB57" s="24" t="s">
        <v>110</v>
      </c>
      <c r="FC57" s="24">
        <f>Sheet1!FE50</f>
        <v>0</v>
      </c>
      <c r="FD57" s="24">
        <f>Sheet1!FF50</f>
        <v>0</v>
      </c>
      <c r="FG57" s="24">
        <f>Sheet1!FH50</f>
        <v>0</v>
      </c>
      <c r="FH57" s="24">
        <f>Sheet1!FI50</f>
        <v>0</v>
      </c>
      <c r="FI57" s="24" t="s">
        <v>148</v>
      </c>
      <c r="FJ57" s="24" t="s">
        <v>110</v>
      </c>
      <c r="FK57" s="24">
        <f>Sheet1!FM50</f>
        <v>0</v>
      </c>
      <c r="FL57" s="24">
        <f>Sheet1!FN50</f>
        <v>0</v>
      </c>
      <c r="FO57" s="24">
        <f>Sheet1!FP50</f>
        <v>0</v>
      </c>
      <c r="FP57" s="24">
        <f>Sheet1!FQ50</f>
        <v>0</v>
      </c>
      <c r="FQ57" s="24" t="s">
        <v>148</v>
      </c>
      <c r="FR57" s="24" t="s">
        <v>110</v>
      </c>
      <c r="FS57" s="24">
        <f>Sheet1!FU50</f>
        <v>0</v>
      </c>
      <c r="FT57" s="24">
        <f>Sheet1!FV50</f>
        <v>0</v>
      </c>
      <c r="FW57" s="24">
        <f>Sheet1!FX50</f>
        <v>0</v>
      </c>
      <c r="FX57" s="24">
        <f>Sheet1!FY50</f>
        <v>0</v>
      </c>
      <c r="FY57" s="24" t="s">
        <v>148</v>
      </c>
      <c r="FZ57" s="24" t="s">
        <v>110</v>
      </c>
      <c r="GA57" s="24">
        <f>Sheet1!GC50</f>
        <v>0</v>
      </c>
      <c r="GB57" s="24">
        <f>Sheet1!GD50</f>
        <v>0</v>
      </c>
      <c r="GE57" s="24">
        <f>Sheet1!GF50</f>
        <v>0</v>
      </c>
      <c r="GF57" s="24">
        <f>Sheet1!GG50</f>
        <v>0</v>
      </c>
      <c r="GG57" s="24" t="s">
        <v>148</v>
      </c>
      <c r="GH57" s="24" t="s">
        <v>110</v>
      </c>
      <c r="GI57" s="24">
        <f>Sheet1!GK50</f>
        <v>0</v>
      </c>
      <c r="GJ57" s="24">
        <f>Sheet1!GL50</f>
        <v>0</v>
      </c>
      <c r="GM57" s="24">
        <f>Sheet1!GN50</f>
        <v>0</v>
      </c>
      <c r="GN57" s="24">
        <f>Sheet1!GO50</f>
        <v>0</v>
      </c>
      <c r="GO57" s="24" t="s">
        <v>148</v>
      </c>
      <c r="GP57" s="24" t="s">
        <v>110</v>
      </c>
      <c r="GQ57" s="24">
        <f>Sheet1!GS50</f>
        <v>0</v>
      </c>
      <c r="GR57" s="24">
        <f>Sheet1!GT50</f>
        <v>0</v>
      </c>
      <c r="GU57" s="24">
        <f>Sheet1!GV50</f>
        <v>0</v>
      </c>
      <c r="GV57" s="24">
        <f>Sheet1!GW50</f>
        <v>0</v>
      </c>
      <c r="GW57" s="24" t="s">
        <v>148</v>
      </c>
      <c r="GX57" s="24" t="s">
        <v>110</v>
      </c>
      <c r="GY57" s="24">
        <f>Sheet1!HA50</f>
        <v>0</v>
      </c>
      <c r="GZ57" s="24">
        <f>Sheet1!HB50</f>
        <v>0</v>
      </c>
      <c r="HC57" s="24">
        <f>Sheet1!HD50</f>
        <v>0</v>
      </c>
      <c r="HD57" s="24">
        <f>Sheet1!HE50</f>
        <v>0</v>
      </c>
      <c r="HE57" s="24" t="s">
        <v>148</v>
      </c>
      <c r="HF57" s="24" t="s">
        <v>110</v>
      </c>
      <c r="HG57" s="24">
        <f>Sheet1!HI50</f>
        <v>0</v>
      </c>
      <c r="HH57" s="24">
        <f>Sheet1!HJ50</f>
        <v>0</v>
      </c>
      <c r="HK57" s="24">
        <f>Sheet1!HL50</f>
        <v>0</v>
      </c>
      <c r="HL57" s="24">
        <f>Sheet1!HM50</f>
        <v>0</v>
      </c>
      <c r="HM57" s="24" t="s">
        <v>148</v>
      </c>
      <c r="HN57" s="24" t="s">
        <v>110</v>
      </c>
      <c r="HO57" s="24">
        <f>Sheet1!HQ50</f>
        <v>0</v>
      </c>
      <c r="HP57" s="24">
        <f>Sheet1!HR50</f>
        <v>0</v>
      </c>
      <c r="HS57" s="24">
        <f>Sheet1!HT50</f>
        <v>0</v>
      </c>
      <c r="HT57" s="24">
        <f>Sheet1!HU50</f>
        <v>0</v>
      </c>
      <c r="HU57" s="24" t="s">
        <v>148</v>
      </c>
      <c r="HV57" s="24" t="s">
        <v>110</v>
      </c>
      <c r="HW57" s="24">
        <f>Sheet1!HY50</f>
        <v>0</v>
      </c>
      <c r="HX57" s="24">
        <f>Sheet1!HZ50</f>
        <v>0</v>
      </c>
      <c r="IA57" s="24">
        <f>Sheet1!IB50</f>
        <v>0</v>
      </c>
      <c r="IB57" s="24">
        <f>Sheet1!IC50</f>
        <v>0</v>
      </c>
      <c r="IC57" s="24" t="s">
        <v>148</v>
      </c>
      <c r="ID57" s="24" t="s">
        <v>110</v>
      </c>
      <c r="IE57" s="24">
        <f>Sheet1!IG50</f>
        <v>0</v>
      </c>
      <c r="IF57" s="24">
        <f>Sheet1!IH50</f>
        <v>0</v>
      </c>
      <c r="II57" s="24">
        <f>Sheet1!IJ50</f>
        <v>0</v>
      </c>
      <c r="IJ57" s="24">
        <f>Sheet1!IK50</f>
        <v>0</v>
      </c>
      <c r="IK57" s="24" t="s">
        <v>148</v>
      </c>
      <c r="IL57" s="24" t="s">
        <v>110</v>
      </c>
      <c r="IM57" s="24">
        <f>Sheet1!IO50</f>
        <v>0</v>
      </c>
      <c r="IN57" s="24">
        <f>Sheet1!IP50</f>
        <v>0</v>
      </c>
      <c r="IQ57" s="24">
        <f>Sheet1!IR50</f>
        <v>0</v>
      </c>
      <c r="IR57" s="24">
        <f>Sheet1!IS50</f>
        <v>0</v>
      </c>
      <c r="IS57" s="24" t="s">
        <v>148</v>
      </c>
      <c r="IT57" s="24" t="s">
        <v>110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Sheet1!D51</f>
        <v>44000</v>
      </c>
      <c r="D58" s="29">
        <f>Sheet1!E51</f>
        <v>0</v>
      </c>
      <c r="E58" s="33" t="s">
        <v>286</v>
      </c>
      <c r="F58" s="31" t="s">
        <v>218</v>
      </c>
      <c r="G58" s="29">
        <f>Sheet1!I51</f>
        <v>4000</v>
      </c>
      <c r="H58" s="29">
        <f>Sheet1!J51</f>
        <v>0</v>
      </c>
    </row>
    <row r="59" spans="1:8" ht="22.5" customHeight="1">
      <c r="A59" s="28"/>
      <c r="B59" s="28"/>
      <c r="C59" s="29">
        <f>Sheet1!D52</f>
        <v>10500</v>
      </c>
      <c r="D59" s="29">
        <f>Sheet1!E52</f>
        <v>0</v>
      </c>
      <c r="E59" s="33" t="s">
        <v>314</v>
      </c>
      <c r="F59" s="31" t="s">
        <v>218</v>
      </c>
      <c r="G59" s="29">
        <f>Sheet1!I52</f>
        <v>0</v>
      </c>
      <c r="H59" s="29">
        <f>Sheet1!J52</f>
        <v>0</v>
      </c>
    </row>
    <row r="60" spans="1:8" ht="22.5" customHeight="1">
      <c r="A60" s="28"/>
      <c r="B60" s="28"/>
      <c r="C60" s="29">
        <f>Sheet1!D53</f>
        <v>34200</v>
      </c>
      <c r="D60" s="29">
        <f>Sheet1!E53</f>
        <v>0</v>
      </c>
      <c r="E60" s="140" t="s">
        <v>320</v>
      </c>
      <c r="F60" s="31" t="s">
        <v>218</v>
      </c>
      <c r="G60" s="29">
        <f>Sheet1!I53</f>
        <v>0</v>
      </c>
      <c r="H60" s="29">
        <f>Sheet1!J53</f>
        <v>0</v>
      </c>
    </row>
    <row r="61" spans="1:8" ht="22.5" customHeight="1">
      <c r="A61" s="28"/>
      <c r="B61" s="28"/>
      <c r="C61" s="29">
        <f>Sheet1!D54</f>
        <v>1710</v>
      </c>
      <c r="D61" s="29">
        <f>Sheet1!E54</f>
        <v>0</v>
      </c>
      <c r="E61" s="33" t="s">
        <v>321</v>
      </c>
      <c r="F61" s="31" t="s">
        <v>218</v>
      </c>
      <c r="G61" s="29">
        <f>Sheet1!I54</f>
        <v>0</v>
      </c>
      <c r="H61" s="29">
        <f>Sheet1!J54</f>
        <v>0</v>
      </c>
    </row>
    <row r="62" spans="1:8" ht="22.5" customHeight="1">
      <c r="A62" s="28"/>
      <c r="B62" s="28"/>
      <c r="C62" s="29">
        <f>Sheet1!D55</f>
        <v>0</v>
      </c>
      <c r="D62" s="29">
        <f>Sheet1!E55</f>
        <v>0</v>
      </c>
      <c r="E62" s="33" t="s">
        <v>130</v>
      </c>
      <c r="F62" s="31" t="s">
        <v>243</v>
      </c>
      <c r="G62" s="29">
        <f>Sheet1!I55</f>
        <v>0</v>
      </c>
      <c r="H62" s="29">
        <f>Sheet1!J55</f>
        <v>0</v>
      </c>
    </row>
    <row r="63" spans="1:8" ht="22.5" customHeight="1">
      <c r="A63" s="28"/>
      <c r="B63" s="28"/>
      <c r="C63" s="29">
        <f>Sheet1!D56</f>
        <v>78200</v>
      </c>
      <c r="D63" s="29">
        <f>Sheet1!E56</f>
        <v>0</v>
      </c>
      <c r="E63" s="33" t="s">
        <v>96</v>
      </c>
      <c r="F63" s="31" t="s">
        <v>244</v>
      </c>
      <c r="G63" s="29">
        <f>Sheet1!I56</f>
        <v>78200</v>
      </c>
      <c r="H63" s="29">
        <f>Sheet1!J56</f>
        <v>0</v>
      </c>
    </row>
    <row r="64" spans="1:8" ht="22.5" customHeight="1">
      <c r="A64" s="28"/>
      <c r="B64" s="28"/>
      <c r="C64" s="29">
        <f>Sheet1!D57</f>
        <v>4946800</v>
      </c>
      <c r="D64" s="29">
        <f>Sheet1!E57</f>
        <v>0</v>
      </c>
      <c r="E64" s="33" t="s">
        <v>21</v>
      </c>
      <c r="F64" s="31" t="s">
        <v>245</v>
      </c>
      <c r="G64" s="29">
        <f>Sheet1!I57</f>
        <v>4946800</v>
      </c>
      <c r="H64" s="29">
        <f>Sheet1!J57</f>
        <v>0</v>
      </c>
    </row>
    <row r="65" spans="1:8" ht="22.5" customHeight="1">
      <c r="A65" s="28"/>
      <c r="B65" s="28"/>
      <c r="C65" s="29">
        <f>Sheet1!D58</f>
        <v>0</v>
      </c>
      <c r="D65" s="29">
        <f>Sheet1!E58</f>
        <v>0</v>
      </c>
      <c r="E65" s="33" t="s">
        <v>246</v>
      </c>
      <c r="F65" s="31" t="s">
        <v>247</v>
      </c>
      <c r="G65" s="29">
        <f>Sheet1!I58</f>
        <v>0</v>
      </c>
      <c r="H65" s="29">
        <f>Sheet1!J58</f>
        <v>0</v>
      </c>
    </row>
    <row r="66" spans="1:8" ht="22.5" customHeight="1">
      <c r="A66" s="28"/>
      <c r="B66" s="28"/>
      <c r="C66" s="29">
        <f>Sheet1!D59</f>
        <v>6500</v>
      </c>
      <c r="D66" s="29">
        <f>Sheet1!E59</f>
        <v>0</v>
      </c>
      <c r="E66" s="33" t="s">
        <v>14</v>
      </c>
      <c r="F66" s="60" t="s">
        <v>248</v>
      </c>
      <c r="G66" s="29">
        <f>Sheet1!I59</f>
        <v>500</v>
      </c>
      <c r="H66" s="29">
        <f>Sheet1!J59</f>
        <v>0</v>
      </c>
    </row>
    <row r="67" spans="1:8" ht="22.5" customHeight="1">
      <c r="A67" s="28"/>
      <c r="B67" s="28"/>
      <c r="C67" s="29">
        <f>Sheet1!D60</f>
        <v>4166</v>
      </c>
      <c r="D67" s="29" t="str">
        <f>Sheet1!E60</f>
        <v>80</v>
      </c>
      <c r="E67" s="33" t="s">
        <v>155</v>
      </c>
      <c r="F67" s="31" t="s">
        <v>249</v>
      </c>
      <c r="G67" s="29">
        <f>Sheet1!I60</f>
        <v>0</v>
      </c>
      <c r="H67" s="29">
        <f>Sheet1!J60</f>
        <v>0</v>
      </c>
    </row>
    <row r="68" spans="1:8" ht="22.5" customHeight="1">
      <c r="A68" s="28"/>
      <c r="B68" s="28"/>
      <c r="C68" s="29">
        <f>Sheet1!D62</f>
        <v>42952</v>
      </c>
      <c r="D68" s="29" t="str">
        <f>Sheet1!E62</f>
        <v>27</v>
      </c>
      <c r="E68" s="33" t="s">
        <v>234</v>
      </c>
      <c r="F68" s="31" t="s">
        <v>249</v>
      </c>
      <c r="G68" s="29">
        <f>Sheet1!I62</f>
        <v>0</v>
      </c>
      <c r="H68" s="29">
        <f>Sheet1!J62</f>
        <v>0</v>
      </c>
    </row>
    <row r="69" spans="1:8" ht="22.5" customHeight="1">
      <c r="A69" s="28"/>
      <c r="B69" s="28"/>
      <c r="C69" s="29">
        <f>Sheet1!D63</f>
        <v>0</v>
      </c>
      <c r="D69" s="29">
        <f>Sheet1!E63</f>
        <v>0</v>
      </c>
      <c r="E69" s="33" t="s">
        <v>15</v>
      </c>
      <c r="F69" s="31" t="s">
        <v>38</v>
      </c>
      <c r="G69" s="29">
        <f>Sheet1!I63</f>
        <v>0</v>
      </c>
      <c r="H69" s="29">
        <f>Sheet1!J63</f>
        <v>0</v>
      </c>
    </row>
    <row r="70" spans="1:8" ht="22.5" customHeight="1">
      <c r="A70" s="28"/>
      <c r="B70" s="28"/>
      <c r="C70" s="29">
        <f>Sheet1!D64</f>
        <v>95068</v>
      </c>
      <c r="D70" s="29" t="str">
        <f>Sheet1!E64</f>
        <v>18</v>
      </c>
      <c r="E70" s="33" t="s">
        <v>16</v>
      </c>
      <c r="F70" s="31" t="s">
        <v>39</v>
      </c>
      <c r="G70" s="29">
        <f>Sheet1!I64</f>
        <v>0</v>
      </c>
      <c r="H70" s="29">
        <f>Sheet1!J64</f>
        <v>0</v>
      </c>
    </row>
    <row r="71" spans="1:8" ht="22.5" customHeight="1">
      <c r="A71" s="28"/>
      <c r="B71" s="28"/>
      <c r="C71" s="29">
        <f>Sheet1!D65</f>
        <v>277934</v>
      </c>
      <c r="D71" s="29" t="str">
        <f>Sheet1!E65</f>
        <v>99</v>
      </c>
      <c r="E71" s="33" t="s">
        <v>18</v>
      </c>
      <c r="F71" s="39" t="s">
        <v>41</v>
      </c>
      <c r="G71" s="29">
        <f>Sheet1!I65</f>
        <v>130371</v>
      </c>
      <c r="H71" s="29" t="str">
        <f>Sheet1!J65</f>
        <v>44</v>
      </c>
    </row>
    <row r="72" spans="1:8" ht="22.5" customHeight="1">
      <c r="A72" s="28"/>
      <c r="B72" s="28"/>
      <c r="C72" s="29">
        <f>Sheet1!D66</f>
        <v>15000</v>
      </c>
      <c r="D72" s="29">
        <f>Sheet1!E66</f>
        <v>0</v>
      </c>
      <c r="E72" s="33" t="s">
        <v>10</v>
      </c>
      <c r="F72" s="39" t="s">
        <v>77</v>
      </c>
      <c r="G72" s="29">
        <f>Sheet1!I66</f>
        <v>7500</v>
      </c>
      <c r="H72" s="29">
        <f>Sheet1!J66</f>
        <v>0</v>
      </c>
    </row>
    <row r="73" spans="1:8" ht="22.5" customHeight="1">
      <c r="A73" s="28"/>
      <c r="B73" s="28"/>
      <c r="C73" s="29">
        <f>Sheet1!D67</f>
        <v>0</v>
      </c>
      <c r="D73" s="29">
        <f>Sheet1!E67</f>
        <v>0</v>
      </c>
      <c r="E73" s="33" t="s">
        <v>120</v>
      </c>
      <c r="F73" s="31" t="s">
        <v>250</v>
      </c>
      <c r="G73" s="29">
        <f>Sheet1!I67</f>
        <v>0</v>
      </c>
      <c r="H73" s="29">
        <f>Sheet1!J67</f>
        <v>0</v>
      </c>
    </row>
    <row r="74" spans="1:8" ht="24" customHeight="1">
      <c r="A74" s="104">
        <f>SUM(A9:A73)</f>
        <v>215000000</v>
      </c>
      <c r="B74" s="104">
        <f>SUM(B9:B73)</f>
        <v>0</v>
      </c>
      <c r="C74" s="105">
        <f>Sheet1!D71</f>
        <v>259246150</v>
      </c>
      <c r="D74" s="105" t="str">
        <f>Sheet1!E71</f>
        <v>21</v>
      </c>
      <c r="E74" s="11" t="s">
        <v>26</v>
      </c>
      <c r="F74" s="106"/>
      <c r="G74" s="105">
        <f>Sheet1!I71</f>
        <v>26193467</v>
      </c>
      <c r="H74" s="105" t="str">
        <f>Sheet1!J71</f>
        <v>82</v>
      </c>
    </row>
    <row r="75" spans="1:8" ht="24" customHeight="1" thickBot="1">
      <c r="A75" s="187" t="s">
        <v>339</v>
      </c>
      <c r="B75" s="188"/>
      <c r="C75" s="188"/>
      <c r="D75" s="188"/>
      <c r="E75" s="188"/>
      <c r="F75" s="188"/>
      <c r="G75" s="188"/>
      <c r="H75" s="189"/>
    </row>
    <row r="76" spans="1:8" ht="24" customHeight="1" thickTop="1">
      <c r="A76" s="212" t="s">
        <v>0</v>
      </c>
      <c r="B76" s="219"/>
      <c r="C76" s="219"/>
      <c r="D76" s="213"/>
      <c r="E76" s="216" t="s">
        <v>4</v>
      </c>
      <c r="F76" s="133" t="s">
        <v>5</v>
      </c>
      <c r="G76" s="212" t="s">
        <v>7</v>
      </c>
      <c r="H76" s="213"/>
    </row>
    <row r="77" spans="1:8" ht="24" customHeight="1">
      <c r="A77" s="185" t="s">
        <v>1</v>
      </c>
      <c r="B77" s="186"/>
      <c r="C77" s="193" t="s">
        <v>3</v>
      </c>
      <c r="D77" s="194"/>
      <c r="E77" s="217"/>
      <c r="F77" s="41" t="s">
        <v>6</v>
      </c>
      <c r="G77" s="185" t="s">
        <v>3</v>
      </c>
      <c r="H77" s="186"/>
    </row>
    <row r="78" spans="1:8" ht="24" customHeight="1" thickBot="1">
      <c r="A78" s="214" t="s">
        <v>2</v>
      </c>
      <c r="B78" s="215"/>
      <c r="C78" s="214" t="s">
        <v>2</v>
      </c>
      <c r="D78" s="215"/>
      <c r="E78" s="218"/>
      <c r="F78" s="93"/>
      <c r="G78" s="190" t="s">
        <v>2</v>
      </c>
      <c r="H78" s="191"/>
    </row>
    <row r="79" spans="1:8" ht="22.5" customHeight="1" thickTop="1">
      <c r="A79" s="35"/>
      <c r="B79" s="35"/>
      <c r="C79" s="36"/>
      <c r="D79" s="36"/>
      <c r="E79" s="108" t="s">
        <v>13</v>
      </c>
      <c r="F79" s="35"/>
      <c r="G79" s="37"/>
      <c r="H79" s="37"/>
    </row>
    <row r="80" spans="1:8" ht="22.5" customHeight="1">
      <c r="A80" s="38">
        <v>19499650</v>
      </c>
      <c r="B80" s="30" t="s">
        <v>113</v>
      </c>
      <c r="C80" s="38">
        <f>Sheet1!D73</f>
        <v>14307253</v>
      </c>
      <c r="D80" s="38" t="str">
        <f>Sheet1!E73</f>
        <v>52</v>
      </c>
      <c r="E80" s="32" t="s">
        <v>14</v>
      </c>
      <c r="F80" s="60" t="s">
        <v>248</v>
      </c>
      <c r="G80" s="38">
        <f>Sheet1!I73</f>
        <v>3080251</v>
      </c>
      <c r="H80" s="38" t="str">
        <f>Sheet1!J73</f>
        <v>96</v>
      </c>
    </row>
    <row r="81" spans="1:8" ht="22.5" customHeight="1">
      <c r="A81" s="38">
        <v>4426920</v>
      </c>
      <c r="B81" s="30" t="s">
        <v>113</v>
      </c>
      <c r="C81" s="38">
        <f>Sheet1!D74</f>
        <v>3246738</v>
      </c>
      <c r="D81" s="38" t="str">
        <f>Sheet1!E74</f>
        <v>39</v>
      </c>
      <c r="E81" s="32" t="s">
        <v>154</v>
      </c>
      <c r="F81" s="60" t="s">
        <v>251</v>
      </c>
      <c r="G81" s="38">
        <f>Sheet1!I74</f>
        <v>0</v>
      </c>
      <c r="H81" s="38">
        <f>Sheet1!J74</f>
        <v>0</v>
      </c>
    </row>
    <row r="82" spans="1:8" ht="22.5" customHeight="1">
      <c r="A82" s="38">
        <v>29171450</v>
      </c>
      <c r="B82" s="30" t="s">
        <v>113</v>
      </c>
      <c r="C82" s="38">
        <f>Sheet1!D75</f>
        <v>20336351</v>
      </c>
      <c r="D82" s="38" t="str">
        <f>Sheet1!E75</f>
        <v>94</v>
      </c>
      <c r="E82" s="32" t="s">
        <v>232</v>
      </c>
      <c r="F82" s="60" t="s">
        <v>249</v>
      </c>
      <c r="G82" s="38">
        <f>Sheet1!I75</f>
        <v>0</v>
      </c>
      <c r="H82" s="38">
        <f>Sheet1!J75</f>
        <v>0</v>
      </c>
    </row>
    <row r="83" spans="1:8" ht="22.5" customHeight="1">
      <c r="A83" s="38">
        <v>966420</v>
      </c>
      <c r="B83" s="30" t="s">
        <v>113</v>
      </c>
      <c r="C83" s="38">
        <f>Sheet1!D76</f>
        <v>878995</v>
      </c>
      <c r="D83" s="38">
        <f>Sheet1!E76</f>
        <v>0</v>
      </c>
      <c r="E83" s="32" t="s">
        <v>233</v>
      </c>
      <c r="F83" s="60" t="s">
        <v>249</v>
      </c>
      <c r="G83" s="38">
        <f>Sheet1!I76</f>
        <v>0</v>
      </c>
      <c r="H83" s="38">
        <f>Sheet1!J76</f>
        <v>0</v>
      </c>
    </row>
    <row r="84" spans="1:8" ht="22.5" customHeight="1">
      <c r="A84" s="38">
        <v>36841590</v>
      </c>
      <c r="B84" s="30" t="s">
        <v>113</v>
      </c>
      <c r="C84" s="38">
        <f>Sheet1!D77</f>
        <v>35288432</v>
      </c>
      <c r="D84" s="38" t="str">
        <f>Sheet1!E77</f>
        <v>87</v>
      </c>
      <c r="E84" s="32" t="s">
        <v>234</v>
      </c>
      <c r="F84" s="60" t="s">
        <v>249</v>
      </c>
      <c r="G84" s="38">
        <f>Sheet1!I77</f>
        <v>0</v>
      </c>
      <c r="H84" s="38">
        <f>Sheet1!J77</f>
        <v>0</v>
      </c>
    </row>
    <row r="85" spans="1:8" ht="22.5" customHeight="1">
      <c r="A85" s="38">
        <v>6652170</v>
      </c>
      <c r="B85" s="30" t="s">
        <v>113</v>
      </c>
      <c r="C85" s="38">
        <f>Sheet1!D78</f>
        <v>2566021</v>
      </c>
      <c r="D85" s="38" t="str">
        <f>Sheet1!E78</f>
        <v>68</v>
      </c>
      <c r="E85" s="32" t="s">
        <v>15</v>
      </c>
      <c r="F85" s="60" t="s">
        <v>38</v>
      </c>
      <c r="G85" s="38">
        <f>Sheet1!I78</f>
        <v>345487</v>
      </c>
      <c r="H85" s="38" t="str">
        <f>Sheet1!J78</f>
        <v>50</v>
      </c>
    </row>
    <row r="86" spans="1:8" ht="22.5" customHeight="1">
      <c r="A86" s="38">
        <v>35795360</v>
      </c>
      <c r="B86" s="30" t="s">
        <v>113</v>
      </c>
      <c r="C86" s="38">
        <f>Sheet1!D79</f>
        <v>26645109</v>
      </c>
      <c r="D86" s="38" t="str">
        <f>Sheet1!E79</f>
        <v>76</v>
      </c>
      <c r="E86" s="32" t="s">
        <v>16</v>
      </c>
      <c r="F86" s="39" t="s">
        <v>39</v>
      </c>
      <c r="G86" s="38">
        <f>Sheet1!I79</f>
        <v>4015313</v>
      </c>
      <c r="H86" s="38" t="str">
        <f>Sheet1!J79</f>
        <v>79</v>
      </c>
    </row>
    <row r="87" spans="1:8" ht="22.5" customHeight="1">
      <c r="A87" s="38">
        <v>10147540</v>
      </c>
      <c r="B87" s="30" t="s">
        <v>113</v>
      </c>
      <c r="C87" s="38">
        <f>Sheet1!D80</f>
        <v>9187810</v>
      </c>
      <c r="D87" s="38" t="str">
        <f>Sheet1!E80</f>
        <v>91</v>
      </c>
      <c r="E87" s="32" t="s">
        <v>17</v>
      </c>
      <c r="F87" s="39" t="s">
        <v>40</v>
      </c>
      <c r="G87" s="38">
        <f>Sheet1!I80</f>
        <v>2302241</v>
      </c>
      <c r="H87" s="38" t="str">
        <f>Sheet1!J80</f>
        <v>15</v>
      </c>
    </row>
    <row r="88" spans="1:8" ht="22.5" customHeight="1">
      <c r="A88" s="38">
        <v>1946000</v>
      </c>
      <c r="B88" s="30" t="s">
        <v>113</v>
      </c>
      <c r="C88" s="38">
        <f>Sheet1!D81</f>
        <v>2460114</v>
      </c>
      <c r="D88" s="38" t="str">
        <f>Sheet1!E81</f>
        <v>97</v>
      </c>
      <c r="E88" s="32" t="s">
        <v>18</v>
      </c>
      <c r="F88" s="39" t="s">
        <v>41</v>
      </c>
      <c r="G88" s="38">
        <f>Sheet1!I81</f>
        <v>466921</v>
      </c>
      <c r="H88" s="38" t="str">
        <f>Sheet1!J81</f>
        <v>06</v>
      </c>
    </row>
    <row r="89" spans="1:8" ht="22.5" customHeight="1">
      <c r="A89" s="38">
        <v>16331400</v>
      </c>
      <c r="B89" s="30" t="s">
        <v>113</v>
      </c>
      <c r="C89" s="38">
        <f>Sheet1!D82</f>
        <v>16455803</v>
      </c>
      <c r="D89" s="38" t="str">
        <f>Sheet1!E82</f>
        <v>80</v>
      </c>
      <c r="E89" s="32" t="s">
        <v>19</v>
      </c>
      <c r="F89" s="39" t="s">
        <v>42</v>
      </c>
      <c r="G89" s="38">
        <f>Sheet1!I82</f>
        <v>974260</v>
      </c>
      <c r="H89" s="38" t="str">
        <f>Sheet1!J82</f>
        <v>10</v>
      </c>
    </row>
    <row r="90" spans="1:8" ht="22.5" customHeight="1">
      <c r="A90" s="40">
        <v>48798000</v>
      </c>
      <c r="B90" s="30" t="s">
        <v>113</v>
      </c>
      <c r="C90" s="38">
        <f>Sheet1!D83</f>
        <v>31898377</v>
      </c>
      <c r="D90" s="38">
        <f>Sheet1!E83</f>
        <v>0</v>
      </c>
      <c r="E90" s="32" t="s">
        <v>20</v>
      </c>
      <c r="F90" s="39" t="s">
        <v>43</v>
      </c>
      <c r="G90" s="38">
        <f>Sheet1!I83</f>
        <v>5894700</v>
      </c>
      <c r="H90" s="38">
        <f>Sheet1!J83</f>
        <v>0</v>
      </c>
    </row>
    <row r="91" spans="1:8" ht="22.5" customHeight="1">
      <c r="A91" s="38">
        <v>4423500</v>
      </c>
      <c r="B91" s="30" t="s">
        <v>113</v>
      </c>
      <c r="C91" s="38">
        <f>Sheet1!D84</f>
        <v>3522000</v>
      </c>
      <c r="D91" s="38">
        <f>Sheet1!E84</f>
        <v>0</v>
      </c>
      <c r="E91" s="32" t="s">
        <v>10</v>
      </c>
      <c r="F91" s="39" t="s">
        <v>77</v>
      </c>
      <c r="G91" s="38">
        <f>Sheet1!I84</f>
        <v>0</v>
      </c>
      <c r="H91" s="38">
        <f>Sheet1!J84</f>
        <v>0</v>
      </c>
    </row>
    <row r="92" spans="1:8" ht="22.5" customHeight="1">
      <c r="A92" s="38"/>
      <c r="B92" s="30" t="s">
        <v>113</v>
      </c>
      <c r="C92" s="38">
        <f>Sheet1!D85</f>
        <v>0</v>
      </c>
      <c r="D92" s="38">
        <f>Sheet1!E85</f>
        <v>0</v>
      </c>
      <c r="E92" s="32" t="s">
        <v>193</v>
      </c>
      <c r="F92" s="39" t="s">
        <v>194</v>
      </c>
      <c r="G92" s="38">
        <f>Sheet1!I85</f>
        <v>0</v>
      </c>
      <c r="H92" s="38">
        <f>Sheet1!J85</f>
        <v>0</v>
      </c>
    </row>
    <row r="93" spans="1:8" ht="22.5" customHeight="1">
      <c r="A93" s="38">
        <v>0</v>
      </c>
      <c r="B93" s="30" t="s">
        <v>113</v>
      </c>
      <c r="C93" s="38">
        <f>Sheet1!D86</f>
        <v>0</v>
      </c>
      <c r="D93" s="38">
        <f>Sheet1!E86</f>
        <v>0</v>
      </c>
      <c r="E93" s="32" t="s">
        <v>146</v>
      </c>
      <c r="F93" s="39" t="s">
        <v>252</v>
      </c>
      <c r="G93" s="38">
        <f>Sheet1!I86</f>
        <v>0</v>
      </c>
      <c r="H93" s="38">
        <f>Sheet1!J86</f>
        <v>0</v>
      </c>
    </row>
    <row r="94" spans="1:8" ht="22.5" customHeight="1">
      <c r="A94" s="40"/>
      <c r="B94" s="34"/>
      <c r="C94" s="38">
        <f>Sheet1!D87</f>
        <v>7325418</v>
      </c>
      <c r="D94" s="38">
        <f>Sheet1!E87</f>
        <v>0</v>
      </c>
      <c r="E94" s="32" t="s">
        <v>137</v>
      </c>
      <c r="F94" s="39" t="s">
        <v>238</v>
      </c>
      <c r="G94" s="38">
        <f>Sheet1!I87</f>
        <v>327950</v>
      </c>
      <c r="H94" s="38">
        <f>Sheet1!J87</f>
        <v>0</v>
      </c>
    </row>
    <row r="95" spans="1:8" ht="22.5" customHeight="1">
      <c r="A95" s="38"/>
      <c r="B95" s="34" t="s">
        <v>82</v>
      </c>
      <c r="C95" s="38">
        <f>Sheet1!D88</f>
        <v>18136140</v>
      </c>
      <c r="D95" s="38">
        <f>Sheet1!E88</f>
        <v>0</v>
      </c>
      <c r="E95" s="32" t="s">
        <v>138</v>
      </c>
      <c r="F95" s="31" t="s">
        <v>239</v>
      </c>
      <c r="G95" s="38">
        <f>Sheet1!I88</f>
        <v>190800</v>
      </c>
      <c r="H95" s="38">
        <f>Sheet1!J88</f>
        <v>0</v>
      </c>
    </row>
    <row r="96" spans="1:8" ht="22.5" customHeight="1">
      <c r="A96" s="38"/>
      <c r="B96" s="34" t="s">
        <v>82</v>
      </c>
      <c r="C96" s="38">
        <f>Sheet1!D89</f>
        <v>0</v>
      </c>
      <c r="D96" s="38">
        <f>Sheet1!E89</f>
        <v>0</v>
      </c>
      <c r="E96" s="32" t="s">
        <v>139</v>
      </c>
      <c r="F96" s="31" t="s">
        <v>237</v>
      </c>
      <c r="G96" s="38">
        <f>Sheet1!I89</f>
        <v>0</v>
      </c>
      <c r="H96" s="38">
        <f>Sheet1!J89</f>
        <v>0</v>
      </c>
    </row>
    <row r="97" spans="1:8" ht="22.5" customHeight="1">
      <c r="A97" s="38"/>
      <c r="B97" s="34" t="s">
        <v>82</v>
      </c>
      <c r="C97" s="38">
        <f>Sheet1!D90</f>
        <v>57000</v>
      </c>
      <c r="D97" s="38">
        <f>Sheet1!E90</f>
        <v>0</v>
      </c>
      <c r="E97" s="32" t="s">
        <v>253</v>
      </c>
      <c r="F97" s="31" t="s">
        <v>241</v>
      </c>
      <c r="G97" s="38">
        <f>Sheet1!I90</f>
        <v>6000</v>
      </c>
      <c r="H97" s="38">
        <f>Sheet1!J90</f>
        <v>0</v>
      </c>
    </row>
    <row r="98" spans="1:8" ht="22.5" customHeight="1">
      <c r="A98" s="38"/>
      <c r="B98" s="34" t="s">
        <v>82</v>
      </c>
      <c r="C98" s="38">
        <f>Sheet1!D94</f>
        <v>0</v>
      </c>
      <c r="D98" s="38">
        <f>Sheet1!E94</f>
        <v>0</v>
      </c>
      <c r="E98" s="32" t="s">
        <v>140</v>
      </c>
      <c r="F98" s="31" t="s">
        <v>235</v>
      </c>
      <c r="G98" s="38">
        <f>Sheet1!I94</f>
        <v>0</v>
      </c>
      <c r="H98" s="38">
        <f>Sheet1!J94</f>
        <v>0</v>
      </c>
    </row>
    <row r="99" spans="1:8" ht="22.5" customHeight="1">
      <c r="A99" s="38"/>
      <c r="B99" s="34" t="s">
        <v>82</v>
      </c>
      <c r="C99" s="38">
        <f>Sheet1!D95</f>
        <v>0</v>
      </c>
      <c r="D99" s="38">
        <f>Sheet1!E95</f>
        <v>0</v>
      </c>
      <c r="E99" s="32" t="s">
        <v>141</v>
      </c>
      <c r="F99" s="31" t="s">
        <v>236</v>
      </c>
      <c r="G99" s="38">
        <f>Sheet1!I95</f>
        <v>0</v>
      </c>
      <c r="H99" s="38">
        <f>Sheet1!J95</f>
        <v>0</v>
      </c>
    </row>
    <row r="100" spans="1:8" ht="22.5" customHeight="1">
      <c r="A100" s="38"/>
      <c r="B100" s="34" t="s">
        <v>82</v>
      </c>
      <c r="C100" s="38">
        <f>Sheet1!D96</f>
        <v>4539616</v>
      </c>
      <c r="D100" s="38" t="str">
        <f>Sheet1!E96</f>
        <v>21</v>
      </c>
      <c r="E100" s="32" t="s">
        <v>134</v>
      </c>
      <c r="F100" s="31" t="s">
        <v>254</v>
      </c>
      <c r="G100" s="38">
        <f>Sheet1!I96</f>
        <v>4539616</v>
      </c>
      <c r="H100" s="38" t="str">
        <f>Sheet1!J96</f>
        <v>21</v>
      </c>
    </row>
    <row r="101" spans="1:8" ht="22.5" customHeight="1">
      <c r="A101" s="38"/>
      <c r="B101" s="34" t="s">
        <v>82</v>
      </c>
      <c r="C101" s="38">
        <f>Sheet1!D97</f>
        <v>1772146</v>
      </c>
      <c r="D101" s="38" t="str">
        <f>Sheet1!E97</f>
        <v>48</v>
      </c>
      <c r="E101" s="32" t="s">
        <v>130</v>
      </c>
      <c r="F101" s="31" t="s">
        <v>243</v>
      </c>
      <c r="G101" s="38">
        <f>Sheet1!I97</f>
        <v>1772146</v>
      </c>
      <c r="H101" s="38" t="str">
        <f>Sheet1!J97</f>
        <v>48</v>
      </c>
    </row>
    <row r="102" spans="1:8" ht="22.5" customHeight="1">
      <c r="A102" s="38"/>
      <c r="B102" s="34"/>
      <c r="C102" s="38">
        <f>Sheet1!D98</f>
        <v>0</v>
      </c>
      <c r="D102" s="38">
        <f>Sheet1!E98</f>
        <v>0</v>
      </c>
      <c r="E102" s="32" t="s">
        <v>387</v>
      </c>
      <c r="F102" s="31" t="s">
        <v>404</v>
      </c>
      <c r="G102" s="38">
        <f>Sheet1!I98</f>
        <v>0</v>
      </c>
      <c r="H102" s="38">
        <f>Sheet1!J98</f>
        <v>0</v>
      </c>
    </row>
    <row r="103" spans="1:8" ht="22.5" customHeight="1">
      <c r="A103" s="40"/>
      <c r="B103" s="34"/>
      <c r="C103" s="38">
        <f>Sheet1!D99</f>
        <v>223200</v>
      </c>
      <c r="D103" s="38">
        <f>Sheet1!E99</f>
        <v>0</v>
      </c>
      <c r="E103" s="32" t="s">
        <v>96</v>
      </c>
      <c r="F103" s="39" t="s">
        <v>244</v>
      </c>
      <c r="G103" s="38">
        <f>Sheet1!I99</f>
        <v>0</v>
      </c>
      <c r="H103" s="38">
        <f>Sheet1!J99</f>
        <v>0</v>
      </c>
    </row>
    <row r="104" spans="1:8" ht="22.5" customHeight="1">
      <c r="A104" s="38"/>
      <c r="B104" s="34"/>
      <c r="C104" s="38">
        <f>Sheet1!D100</f>
        <v>7702500</v>
      </c>
      <c r="D104" s="38" t="str">
        <f>Sheet1!E100</f>
        <v>.0</v>
      </c>
      <c r="E104" s="32" t="s">
        <v>21</v>
      </c>
      <c r="F104" s="31" t="s">
        <v>245</v>
      </c>
      <c r="G104" s="38">
        <f>Sheet1!I100</f>
        <v>103835</v>
      </c>
      <c r="H104" s="38" t="str">
        <f>Sheet1!J100</f>
        <v>88</v>
      </c>
    </row>
    <row r="105" spans="1:8" ht="22.5" customHeight="1">
      <c r="A105" s="40"/>
      <c r="B105" s="34"/>
      <c r="C105" s="38">
        <f>Sheet1!D101</f>
        <v>3000000</v>
      </c>
      <c r="D105" s="38">
        <f>Sheet1!E101</f>
        <v>0</v>
      </c>
      <c r="E105" s="32" t="s">
        <v>246</v>
      </c>
      <c r="F105" s="39" t="s">
        <v>247</v>
      </c>
      <c r="G105" s="38">
        <f>Sheet1!I101</f>
        <v>82889</v>
      </c>
      <c r="H105" s="38" t="str">
        <f>Sheet1!J101</f>
        <v>44</v>
      </c>
    </row>
    <row r="106" spans="1:8" ht="22.5" customHeight="1">
      <c r="A106" s="40"/>
      <c r="B106" s="34"/>
      <c r="C106" s="38">
        <f>Sheet1!D102</f>
        <v>0</v>
      </c>
      <c r="D106" s="38">
        <f>Sheet1!E102</f>
        <v>0</v>
      </c>
      <c r="E106" s="32" t="s">
        <v>87</v>
      </c>
      <c r="F106" s="39" t="s">
        <v>255</v>
      </c>
      <c r="G106" s="38">
        <f>Sheet1!I102</f>
        <v>0</v>
      </c>
      <c r="H106" s="38">
        <f>Sheet1!J102</f>
        <v>0</v>
      </c>
    </row>
    <row r="107" spans="1:8" ht="22.5" customHeight="1">
      <c r="A107" s="40"/>
      <c r="B107" s="34"/>
      <c r="C107" s="38">
        <f>Sheet1!D103</f>
        <v>17068799</v>
      </c>
      <c r="D107" s="38" t="str">
        <f>Sheet1!E103</f>
        <v>58</v>
      </c>
      <c r="E107" s="32" t="s">
        <v>11</v>
      </c>
      <c r="F107" s="39" t="s">
        <v>242</v>
      </c>
      <c r="G107" s="38">
        <f>Sheet1!I103</f>
        <v>685352</v>
      </c>
      <c r="H107" s="38" t="str">
        <f>Sheet1!J103</f>
        <v>19</v>
      </c>
    </row>
    <row r="108" spans="1:8" ht="22.5" customHeight="1">
      <c r="A108" s="40"/>
      <c r="B108" s="34"/>
      <c r="C108" s="38">
        <f>Sheet1!D104</f>
        <v>7390847</v>
      </c>
      <c r="D108" s="38" t="str">
        <f>Sheet1!E104</f>
        <v>51</v>
      </c>
      <c r="E108" s="32" t="s">
        <v>12</v>
      </c>
      <c r="F108" s="39" t="s">
        <v>109</v>
      </c>
      <c r="G108" s="38">
        <f>Sheet1!I104</f>
        <v>605956</v>
      </c>
      <c r="H108" s="38" t="str">
        <f>Sheet1!J104</f>
        <v>66</v>
      </c>
    </row>
    <row r="109" spans="1:8" ht="22.5" customHeight="1">
      <c r="A109" s="40"/>
      <c r="B109" s="34"/>
      <c r="C109" s="38">
        <f>Sheet1!D106</f>
        <v>628338</v>
      </c>
      <c r="D109" s="38" t="str">
        <f>Sheet1!E106</f>
        <v>81</v>
      </c>
      <c r="E109" s="32" t="s">
        <v>256</v>
      </c>
      <c r="F109" s="39" t="s">
        <v>257</v>
      </c>
      <c r="G109" s="38">
        <f>Sheet1!I106</f>
        <v>0</v>
      </c>
      <c r="H109" s="38">
        <f>Sheet1!J106</f>
        <v>0</v>
      </c>
    </row>
    <row r="110" spans="1:8" ht="22.5" customHeight="1">
      <c r="A110" s="40"/>
      <c r="B110" s="34"/>
      <c r="C110" s="38">
        <f>Sheet1!D107</f>
        <v>133763</v>
      </c>
      <c r="D110" s="38">
        <f>Sheet1!E107</f>
        <v>0</v>
      </c>
      <c r="E110" s="32" t="s">
        <v>187</v>
      </c>
      <c r="F110" s="31" t="s">
        <v>218</v>
      </c>
      <c r="G110" s="38">
        <f>Sheet1!I107</f>
        <v>0</v>
      </c>
      <c r="H110" s="38">
        <f>Sheet1!J107</f>
        <v>0</v>
      </c>
    </row>
    <row r="111" spans="1:8" ht="22.5" customHeight="1">
      <c r="A111" s="40"/>
      <c r="B111" s="34"/>
      <c r="C111" s="38">
        <f>Sheet1!D108</f>
        <v>1553000</v>
      </c>
      <c r="D111" s="38">
        <f>Sheet1!E108</f>
        <v>0</v>
      </c>
      <c r="E111" s="33" t="s">
        <v>169</v>
      </c>
      <c r="F111" s="31" t="s">
        <v>218</v>
      </c>
      <c r="G111" s="38">
        <f>Sheet1!I108</f>
        <v>0</v>
      </c>
      <c r="H111" s="38">
        <f>Sheet1!J108</f>
        <v>0</v>
      </c>
    </row>
    <row r="112" spans="1:8" ht="22.5" customHeight="1">
      <c r="A112" s="40"/>
      <c r="B112" s="34"/>
      <c r="C112" s="38">
        <f>Sheet1!D109</f>
        <v>43000</v>
      </c>
      <c r="D112" s="38">
        <f>Sheet1!E109</f>
        <v>0</v>
      </c>
      <c r="E112" s="33" t="s">
        <v>198</v>
      </c>
      <c r="F112" s="31" t="s">
        <v>218</v>
      </c>
      <c r="G112" s="38">
        <f>Sheet1!I109</f>
        <v>0</v>
      </c>
      <c r="H112" s="38">
        <f>Sheet1!J109</f>
        <v>0</v>
      </c>
    </row>
    <row r="113" spans="1:8" ht="22.5" customHeight="1">
      <c r="A113" s="40"/>
      <c r="B113" s="34"/>
      <c r="C113" s="38">
        <f>Sheet1!D110</f>
        <v>0</v>
      </c>
      <c r="D113" s="38">
        <f>Sheet1!E110</f>
        <v>0</v>
      </c>
      <c r="E113" s="33" t="s">
        <v>170</v>
      </c>
      <c r="F113" s="31" t="s">
        <v>218</v>
      </c>
      <c r="G113" s="38">
        <f>Sheet1!I110</f>
        <v>0</v>
      </c>
      <c r="H113" s="38">
        <f>Sheet1!J110</f>
        <v>0</v>
      </c>
    </row>
    <row r="114" spans="1:8" ht="22.5" customHeight="1">
      <c r="A114" s="40"/>
      <c r="B114" s="34"/>
      <c r="C114" s="38">
        <f>Sheet1!D111</f>
        <v>23182200</v>
      </c>
      <c r="D114" s="38">
        <f>Sheet1!E111</f>
        <v>0</v>
      </c>
      <c r="E114" s="129" t="s">
        <v>282</v>
      </c>
      <c r="F114" s="31" t="s">
        <v>218</v>
      </c>
      <c r="G114" s="38">
        <f>Sheet1!I111</f>
        <v>1920400</v>
      </c>
      <c r="H114" s="38">
        <f>Sheet1!J111</f>
        <v>0</v>
      </c>
    </row>
    <row r="115" spans="1:8" ht="22.5" customHeight="1">
      <c r="A115" s="40"/>
      <c r="B115" s="34"/>
      <c r="C115" s="38">
        <f>Sheet1!D112</f>
        <v>3869600</v>
      </c>
      <c r="D115" s="38">
        <f>Sheet1!E112</f>
        <v>0</v>
      </c>
      <c r="E115" s="33" t="s">
        <v>283</v>
      </c>
      <c r="F115" s="31" t="s">
        <v>218</v>
      </c>
      <c r="G115" s="38">
        <f>Sheet1!I112</f>
        <v>409600</v>
      </c>
      <c r="H115" s="38">
        <f>Sheet1!J112</f>
        <v>0</v>
      </c>
    </row>
    <row r="116" spans="1:8" ht="22.5" customHeight="1">
      <c r="A116" s="40"/>
      <c r="B116" s="34"/>
      <c r="C116" s="38">
        <f>Sheet1!D113</f>
        <v>632870</v>
      </c>
      <c r="D116" s="38">
        <f>Sheet1!E113</f>
        <v>0</v>
      </c>
      <c r="E116" s="103" t="s">
        <v>171</v>
      </c>
      <c r="F116" s="31" t="s">
        <v>218</v>
      </c>
      <c r="G116" s="38">
        <f>Sheet1!I113</f>
        <v>62580</v>
      </c>
      <c r="H116" s="38">
        <f>Sheet1!J113</f>
        <v>0</v>
      </c>
    </row>
    <row r="117" spans="1:8" ht="22.5" customHeight="1">
      <c r="A117" s="40"/>
      <c r="B117" s="34"/>
      <c r="C117" s="38">
        <f>Sheet1!D114</f>
        <v>379623</v>
      </c>
      <c r="D117" s="38" t="str">
        <f>Sheet1!E114</f>
        <v>54</v>
      </c>
      <c r="E117" s="103" t="s">
        <v>172</v>
      </c>
      <c r="F117" s="31" t="s">
        <v>218</v>
      </c>
      <c r="G117" s="38">
        <f>Sheet1!I114</f>
        <v>34330</v>
      </c>
      <c r="H117" s="38">
        <f>Sheet1!J115</f>
        <v>0</v>
      </c>
    </row>
    <row r="118" spans="1:8" ht="22.5" customHeight="1" thickBot="1">
      <c r="A118" s="192" t="s">
        <v>226</v>
      </c>
      <c r="B118" s="192"/>
      <c r="C118" s="192"/>
      <c r="D118" s="192"/>
      <c r="E118" s="192"/>
      <c r="F118" s="192"/>
      <c r="G118" s="192"/>
      <c r="H118" s="192"/>
    </row>
    <row r="119" spans="1:8" ht="22.5" customHeight="1" thickTop="1">
      <c r="A119" s="220" t="s">
        <v>0</v>
      </c>
      <c r="B119" s="221"/>
      <c r="C119" s="221"/>
      <c r="D119" s="222"/>
      <c r="E119" s="217" t="s">
        <v>4</v>
      </c>
      <c r="F119" s="41" t="s">
        <v>5</v>
      </c>
      <c r="G119" s="220" t="s">
        <v>7</v>
      </c>
      <c r="H119" s="222"/>
    </row>
    <row r="120" spans="1:8" ht="22.5" customHeight="1">
      <c r="A120" s="185" t="s">
        <v>1</v>
      </c>
      <c r="B120" s="186"/>
      <c r="C120" s="193" t="s">
        <v>3</v>
      </c>
      <c r="D120" s="194"/>
      <c r="E120" s="217"/>
      <c r="F120" s="41" t="s">
        <v>6</v>
      </c>
      <c r="G120" s="185" t="s">
        <v>3</v>
      </c>
      <c r="H120" s="186"/>
    </row>
    <row r="121" spans="1:8" ht="22.5" customHeight="1" thickBot="1">
      <c r="A121" s="214" t="s">
        <v>2</v>
      </c>
      <c r="B121" s="215"/>
      <c r="C121" s="214" t="s">
        <v>2</v>
      </c>
      <c r="D121" s="215"/>
      <c r="E121" s="218"/>
      <c r="F121" s="93"/>
      <c r="G121" s="190" t="s">
        <v>2</v>
      </c>
      <c r="H121" s="191"/>
    </row>
    <row r="122" spans="1:8" ht="22.5" customHeight="1" thickTop="1">
      <c r="A122" s="40"/>
      <c r="B122" s="34"/>
      <c r="C122" s="38">
        <f>Sheet1!D115</f>
        <v>22069</v>
      </c>
      <c r="D122" s="38">
        <f>Sheet1!E115</f>
        <v>0</v>
      </c>
      <c r="E122" s="103" t="s">
        <v>173</v>
      </c>
      <c r="F122" s="31" t="s">
        <v>218</v>
      </c>
      <c r="G122" s="38">
        <f>Sheet1!I115</f>
        <v>3384</v>
      </c>
      <c r="H122" s="38">
        <f>Sheet1!J115</f>
        <v>0</v>
      </c>
    </row>
    <row r="123" spans="1:8" ht="22.5" customHeight="1">
      <c r="A123" s="40"/>
      <c r="B123" s="34"/>
      <c r="C123" s="38">
        <f>Sheet1!D116</f>
        <v>67870</v>
      </c>
      <c r="D123" s="38" t="str">
        <f>Sheet1!E116</f>
        <v>96</v>
      </c>
      <c r="E123" s="140" t="s">
        <v>287</v>
      </c>
      <c r="F123" s="31" t="s">
        <v>218</v>
      </c>
      <c r="G123" s="38">
        <f>Sheet1!I116</f>
        <v>6000</v>
      </c>
      <c r="H123" s="38">
        <f>Sheet1!J116</f>
        <v>0</v>
      </c>
    </row>
    <row r="124" spans="1:8" ht="22.5" customHeight="1" hidden="1">
      <c r="A124" s="40"/>
      <c r="B124" s="34"/>
      <c r="C124" s="38">
        <f>Sheet1!D118</f>
        <v>23024</v>
      </c>
      <c r="D124" s="38">
        <f>Sheet1!E118</f>
        <v>0</v>
      </c>
      <c r="E124" s="103" t="s">
        <v>306</v>
      </c>
      <c r="F124" s="31" t="s">
        <v>218</v>
      </c>
      <c r="G124" s="38">
        <f>Sheet1!I118</f>
        <v>0</v>
      </c>
      <c r="H124" s="38">
        <f>Sheet1!J118</f>
        <v>0</v>
      </c>
    </row>
    <row r="125" spans="1:8" ht="22.5" customHeight="1" hidden="1">
      <c r="A125" s="40"/>
      <c r="B125" s="34"/>
      <c r="C125" s="38">
        <f>Sheet1!D119</f>
        <v>460477</v>
      </c>
      <c r="D125" s="38" t="str">
        <f>Sheet1!E119</f>
        <v>44</v>
      </c>
      <c r="E125" s="103" t="s">
        <v>172</v>
      </c>
      <c r="F125" s="31" t="s">
        <v>218</v>
      </c>
      <c r="G125" s="38">
        <f>Sheet1!I119</f>
        <v>0</v>
      </c>
      <c r="H125" s="38">
        <f>Sheet1!J119</f>
        <v>0</v>
      </c>
    </row>
    <row r="126" spans="1:8" ht="22.5" customHeight="1" hidden="1">
      <c r="A126" s="40"/>
      <c r="B126" s="34"/>
      <c r="C126" s="38">
        <f>Sheet1!D120</f>
        <v>6000</v>
      </c>
      <c r="D126" s="38">
        <f>Sheet1!E120</f>
        <v>0</v>
      </c>
      <c r="E126" s="103" t="s">
        <v>174</v>
      </c>
      <c r="F126" s="31" t="s">
        <v>218</v>
      </c>
      <c r="G126" s="38">
        <f>Sheet1!I120</f>
        <v>0</v>
      </c>
      <c r="H126" s="38">
        <f>Sheet1!J120</f>
        <v>0</v>
      </c>
    </row>
    <row r="127" spans="1:8" ht="22.5" customHeight="1" hidden="1">
      <c r="A127" s="40"/>
      <c r="B127" s="34"/>
      <c r="C127" s="38">
        <f>Sheet1!D121</f>
        <v>132620</v>
      </c>
      <c r="D127" s="38">
        <f>Sheet1!E121</f>
        <v>0</v>
      </c>
      <c r="E127" s="103" t="s">
        <v>175</v>
      </c>
      <c r="F127" s="31" t="s">
        <v>218</v>
      </c>
      <c r="G127" s="38">
        <f>Sheet1!I121</f>
        <v>0</v>
      </c>
      <c r="H127" s="38">
        <f>Sheet1!J121</f>
        <v>0</v>
      </c>
    </row>
    <row r="128" spans="1:8" ht="22.5" customHeight="1" hidden="1">
      <c r="A128" s="40"/>
      <c r="B128" s="34"/>
      <c r="C128" s="38">
        <f>Sheet1!D122</f>
        <v>11876</v>
      </c>
      <c r="D128" s="38">
        <f>Sheet1!E122</f>
        <v>0</v>
      </c>
      <c r="E128" s="103" t="s">
        <v>215</v>
      </c>
      <c r="F128" s="31" t="s">
        <v>218</v>
      </c>
      <c r="G128" s="38">
        <f>Sheet1!I122</f>
        <v>0</v>
      </c>
      <c r="H128" s="38">
        <f>Sheet1!J122</f>
        <v>0</v>
      </c>
    </row>
    <row r="129" spans="1:8" ht="22.5" customHeight="1">
      <c r="A129" s="40"/>
      <c r="B129" s="34"/>
      <c r="C129" s="38">
        <f>Sheet1!D123</f>
        <v>196860</v>
      </c>
      <c r="D129" s="38">
        <f>Sheet1!E123</f>
        <v>0</v>
      </c>
      <c r="E129" s="103" t="s">
        <v>176</v>
      </c>
      <c r="F129" s="31" t="s">
        <v>218</v>
      </c>
      <c r="G129" s="38">
        <f>Sheet1!I123</f>
        <v>103752</v>
      </c>
      <c r="H129" s="38">
        <f>Sheet1!J123</f>
        <v>0</v>
      </c>
    </row>
    <row r="130" spans="1:8" ht="22.5" customHeight="1" hidden="1">
      <c r="A130" s="40"/>
      <c r="B130" s="34"/>
      <c r="C130" s="38">
        <f>Sheet1!D124</f>
        <v>6844</v>
      </c>
      <c r="D130" s="38">
        <f>Sheet1!E124</f>
        <v>0</v>
      </c>
      <c r="E130" s="103" t="s">
        <v>216</v>
      </c>
      <c r="F130" s="31" t="s">
        <v>218</v>
      </c>
      <c r="G130" s="38">
        <f>Sheet1!I124</f>
        <v>0</v>
      </c>
      <c r="H130" s="38">
        <f>Sheet1!J124</f>
        <v>0</v>
      </c>
    </row>
    <row r="131" spans="1:8" ht="22.5" customHeight="1" hidden="1">
      <c r="A131" s="40"/>
      <c r="B131" s="34"/>
      <c r="C131" s="38">
        <f>Sheet1!D125</f>
        <v>28170</v>
      </c>
      <c r="D131" s="38">
        <f>Sheet1!E125</f>
        <v>0</v>
      </c>
      <c r="E131" s="103" t="s">
        <v>177</v>
      </c>
      <c r="F131" s="31" t="s">
        <v>218</v>
      </c>
      <c r="G131" s="38">
        <f>Sheet1!I125</f>
        <v>0</v>
      </c>
      <c r="H131" s="38">
        <f>Sheet1!J125</f>
        <v>0</v>
      </c>
    </row>
    <row r="132" spans="1:8" ht="22.5" customHeight="1" hidden="1">
      <c r="A132" s="40"/>
      <c r="B132" s="34"/>
      <c r="C132" s="38">
        <f>Sheet1!D126</f>
        <v>102722</v>
      </c>
      <c r="D132" s="38">
        <f>Sheet1!E126</f>
        <v>0</v>
      </c>
      <c r="E132" s="103" t="s">
        <v>178</v>
      </c>
      <c r="F132" s="31" t="s">
        <v>218</v>
      </c>
      <c r="G132" s="38">
        <f>Sheet1!I126</f>
        <v>0</v>
      </c>
      <c r="H132" s="38">
        <f>Sheet1!J126</f>
        <v>0</v>
      </c>
    </row>
    <row r="133" spans="1:8" ht="22.5" customHeight="1" hidden="1">
      <c r="A133" s="40"/>
      <c r="B133" s="34"/>
      <c r="C133" s="38">
        <f>Sheet1!D127</f>
        <v>2854</v>
      </c>
      <c r="D133" s="38">
        <f>Sheet1!E127</f>
        <v>0</v>
      </c>
      <c r="E133" s="103" t="s">
        <v>222</v>
      </c>
      <c r="F133" s="31" t="s">
        <v>218</v>
      </c>
      <c r="G133" s="38">
        <f>Sheet1!I127</f>
        <v>0</v>
      </c>
      <c r="H133" s="38">
        <f>Sheet1!J127</f>
        <v>0</v>
      </c>
    </row>
    <row r="134" spans="1:8" ht="22.5" customHeight="1" hidden="1">
      <c r="A134" s="40"/>
      <c r="B134" s="34"/>
      <c r="C134" s="38">
        <f>Sheet1!D128</f>
        <v>36000</v>
      </c>
      <c r="D134" s="38">
        <f>Sheet1!E128</f>
        <v>0</v>
      </c>
      <c r="E134" s="103" t="s">
        <v>179</v>
      </c>
      <c r="F134" s="31" t="s">
        <v>218</v>
      </c>
      <c r="G134" s="38">
        <f>Sheet1!I128</f>
        <v>0</v>
      </c>
      <c r="H134" s="38">
        <f>Sheet1!J128</f>
        <v>0</v>
      </c>
    </row>
    <row r="135" spans="1:8" ht="22.5" customHeight="1" hidden="1">
      <c r="A135" s="40"/>
      <c r="B135" s="34"/>
      <c r="C135" s="38">
        <f>Sheet1!D129</f>
        <v>75010</v>
      </c>
      <c r="D135" s="38">
        <f>Sheet1!E129</f>
        <v>0</v>
      </c>
      <c r="E135" s="103" t="s">
        <v>180</v>
      </c>
      <c r="F135" s="31" t="s">
        <v>218</v>
      </c>
      <c r="G135" s="38">
        <f>Sheet1!I129</f>
        <v>0</v>
      </c>
      <c r="H135" s="38">
        <f>Sheet1!J129</f>
        <v>0</v>
      </c>
    </row>
    <row r="136" spans="1:8" ht="22.5" customHeight="1" hidden="1">
      <c r="A136" s="40"/>
      <c r="B136" s="34"/>
      <c r="C136" s="38">
        <f>Sheet1!D130</f>
        <v>72264</v>
      </c>
      <c r="D136" s="38">
        <f>Sheet1!E130</f>
        <v>0</v>
      </c>
      <c r="E136" s="103" t="s">
        <v>307</v>
      </c>
      <c r="F136" s="31" t="s">
        <v>218</v>
      </c>
      <c r="G136" s="38">
        <f>Sheet1!I130</f>
        <v>0</v>
      </c>
      <c r="H136" s="38">
        <f>Sheet1!J130</f>
        <v>0</v>
      </c>
    </row>
    <row r="137" spans="1:8" ht="22.5" customHeight="1">
      <c r="A137" s="40"/>
      <c r="B137" s="34"/>
      <c r="C137" s="38">
        <f>Sheet1!D131</f>
        <v>34200</v>
      </c>
      <c r="D137" s="38">
        <f>Sheet1!E131</f>
        <v>0</v>
      </c>
      <c r="E137" s="103" t="s">
        <v>327</v>
      </c>
      <c r="F137" s="31" t="s">
        <v>218</v>
      </c>
      <c r="G137" s="38">
        <f>Sheet1!I131</f>
        <v>0</v>
      </c>
      <c r="H137" s="38">
        <f>Sheet1!J131</f>
        <v>0</v>
      </c>
    </row>
    <row r="138" spans="1:8" ht="22.5" customHeight="1">
      <c r="A138" s="40"/>
      <c r="B138" s="34"/>
      <c r="C138" s="38">
        <f>Sheet1!D132</f>
        <v>1710</v>
      </c>
      <c r="D138" s="38">
        <f>Sheet1!E132</f>
        <v>0</v>
      </c>
      <c r="E138" s="103" t="s">
        <v>328</v>
      </c>
      <c r="F138" s="31" t="s">
        <v>218</v>
      </c>
      <c r="G138" s="38">
        <f>Sheet1!I132</f>
        <v>0</v>
      </c>
      <c r="H138" s="38">
        <f>Sheet1!J132</f>
        <v>0</v>
      </c>
    </row>
    <row r="139" spans="1:8" ht="22.5" customHeight="1">
      <c r="A139" s="40"/>
      <c r="B139" s="34"/>
      <c r="C139" s="38">
        <f>Sheet1!D133</f>
        <v>0</v>
      </c>
      <c r="D139" s="38">
        <f>Sheet1!E133</f>
        <v>0</v>
      </c>
      <c r="E139" s="103" t="s">
        <v>183</v>
      </c>
      <c r="F139" s="31" t="s">
        <v>218</v>
      </c>
      <c r="G139" s="38">
        <f>Sheet1!I133</f>
        <v>0</v>
      </c>
      <c r="H139" s="38">
        <f>Sheet1!J133</f>
        <v>0</v>
      </c>
    </row>
    <row r="140" spans="1:8" ht="22.5" customHeight="1">
      <c r="A140" s="40"/>
      <c r="B140" s="34"/>
      <c r="C140" s="38">
        <f>Sheet1!D134</f>
        <v>10500</v>
      </c>
      <c r="D140" s="38">
        <f>Sheet1!E134</f>
        <v>0</v>
      </c>
      <c r="E140" s="103" t="s">
        <v>286</v>
      </c>
      <c r="F140" s="31" t="s">
        <v>218</v>
      </c>
      <c r="G140" s="38">
        <f>Sheet1!I134</f>
        <v>0</v>
      </c>
      <c r="H140" s="38">
        <f>Sheet1!J134</f>
        <v>0</v>
      </c>
    </row>
    <row r="141" spans="1:8" ht="22.5" customHeight="1">
      <c r="A141" s="40"/>
      <c r="B141" s="34"/>
      <c r="C141" s="38">
        <f>Sheet1!D135</f>
        <v>21000</v>
      </c>
      <c r="D141" s="38">
        <f>Sheet1!E135</f>
        <v>0</v>
      </c>
      <c r="E141" s="103" t="s">
        <v>184</v>
      </c>
      <c r="F141" s="31" t="s">
        <v>218</v>
      </c>
      <c r="G141" s="38">
        <f>Sheet1!I135</f>
        <v>0</v>
      </c>
      <c r="H141" s="38">
        <f>Sheet1!J135</f>
        <v>0</v>
      </c>
    </row>
    <row r="142" spans="1:8" ht="22.5" customHeight="1">
      <c r="A142" s="40"/>
      <c r="B142" s="34"/>
      <c r="C142" s="38">
        <f>Sheet1!D136</f>
        <v>14140</v>
      </c>
      <c r="D142" s="38">
        <f>Sheet1!E136</f>
        <v>0</v>
      </c>
      <c r="E142" s="103" t="s">
        <v>209</v>
      </c>
      <c r="F142" s="31" t="s">
        <v>218</v>
      </c>
      <c r="G142" s="38">
        <f>Sheet1!I136</f>
        <v>0</v>
      </c>
      <c r="H142" s="38">
        <f>Sheet1!J136</f>
        <v>0</v>
      </c>
    </row>
    <row r="143" spans="1:8" ht="22.5" customHeight="1">
      <c r="A143" s="40"/>
      <c r="B143" s="34"/>
      <c r="C143" s="38">
        <f>Sheet1!D137</f>
        <v>0</v>
      </c>
      <c r="D143" s="38">
        <f>Sheet1!E137</f>
        <v>0</v>
      </c>
      <c r="E143" s="103" t="s">
        <v>195</v>
      </c>
      <c r="F143" s="31" t="s">
        <v>218</v>
      </c>
      <c r="G143" s="38">
        <f>Sheet1!I137</f>
        <v>0</v>
      </c>
      <c r="H143" s="38">
        <f>Sheet1!J137</f>
        <v>0</v>
      </c>
    </row>
    <row r="144" spans="1:8" ht="22.5" customHeight="1">
      <c r="A144" s="40"/>
      <c r="B144" s="34"/>
      <c r="C144" s="38">
        <f>Sheet1!D138</f>
        <v>0</v>
      </c>
      <c r="D144" s="38">
        <f>Sheet1!E138</f>
        <v>0</v>
      </c>
      <c r="E144" s="103" t="s">
        <v>196</v>
      </c>
      <c r="F144" s="31" t="s">
        <v>218</v>
      </c>
      <c r="G144" s="38">
        <f>Sheet1!I138</f>
        <v>0</v>
      </c>
      <c r="H144" s="38">
        <f>Sheet1!J138</f>
        <v>0</v>
      </c>
    </row>
    <row r="145" spans="1:8" ht="22.5" customHeight="1">
      <c r="A145" s="40"/>
      <c r="B145" s="34"/>
      <c r="C145" s="38">
        <f>Sheet1!D139</f>
        <v>5800</v>
      </c>
      <c r="D145" s="38">
        <f>Sheet1!E139</f>
        <v>0</v>
      </c>
      <c r="E145" s="103" t="s">
        <v>380</v>
      </c>
      <c r="F145" s="31" t="s">
        <v>218</v>
      </c>
      <c r="G145" s="38">
        <f>Sheet1!I140</f>
        <v>0</v>
      </c>
      <c r="H145" s="38">
        <f>Sheet1!J140</f>
        <v>0</v>
      </c>
    </row>
    <row r="146" spans="1:8" ht="22.5" customHeight="1">
      <c r="A146" s="40"/>
      <c r="B146" s="34"/>
      <c r="C146" s="38">
        <f>Sheet1!D141</f>
        <v>0</v>
      </c>
      <c r="D146" s="38">
        <f>Sheet1!E141</f>
        <v>0</v>
      </c>
      <c r="E146" s="103" t="s">
        <v>374</v>
      </c>
      <c r="F146" s="31" t="s">
        <v>218</v>
      </c>
      <c r="G146" s="38">
        <f>Sheet1!I141</f>
        <v>0</v>
      </c>
      <c r="H146" s="38">
        <f>Sheet1!J141</f>
        <v>0</v>
      </c>
    </row>
    <row r="147" spans="1:8" ht="22.5" customHeight="1">
      <c r="A147" s="40"/>
      <c r="B147" s="34"/>
      <c r="C147" s="38">
        <f>Sheet1!D142</f>
        <v>6030000</v>
      </c>
      <c r="D147" s="38">
        <f>Sheet1!E142</f>
        <v>0</v>
      </c>
      <c r="E147" s="103" t="s">
        <v>375</v>
      </c>
      <c r="F147" s="31" t="s">
        <v>218</v>
      </c>
      <c r="G147" s="38">
        <f>Sheet1!I142</f>
        <v>0</v>
      </c>
      <c r="H147" s="38">
        <f>Sheet1!J142</f>
        <v>0</v>
      </c>
    </row>
    <row r="148" spans="1:8" ht="22.5" customHeight="1">
      <c r="A148" s="40"/>
      <c r="B148" s="34"/>
      <c r="C148" s="38">
        <f>Sheet1!D143</f>
        <v>14898</v>
      </c>
      <c r="D148" s="38"/>
      <c r="E148" s="7" t="s">
        <v>135</v>
      </c>
      <c r="F148" s="31" t="s">
        <v>403</v>
      </c>
      <c r="G148" s="38">
        <f>Sheet1!I143</f>
        <v>14898</v>
      </c>
      <c r="H148" s="38">
        <f>Sheet1!J143</f>
        <v>0</v>
      </c>
    </row>
    <row r="149" spans="1:8" ht="22.5" customHeight="1">
      <c r="A149" s="40"/>
      <c r="B149" s="34"/>
      <c r="C149" s="38"/>
      <c r="D149" s="38"/>
      <c r="E149" s="103"/>
      <c r="F149" s="31"/>
      <c r="G149" s="38"/>
      <c r="H149" s="38"/>
    </row>
    <row r="150" spans="1:8" ht="22.5" customHeight="1">
      <c r="A150" s="40"/>
      <c r="B150" s="34"/>
      <c r="C150" s="38"/>
      <c r="D150" s="38"/>
      <c r="E150" s="103"/>
      <c r="F150" s="31"/>
      <c r="G150" s="38"/>
      <c r="H150" s="38"/>
    </row>
    <row r="151" spans="1:8" ht="22.5" customHeight="1">
      <c r="A151" s="96">
        <f>SUM(A80:A147)</f>
        <v>215000000</v>
      </c>
      <c r="B151" s="96">
        <f>SUM(B80:B122)</f>
        <v>0</v>
      </c>
      <c r="C151" s="97">
        <f>Sheet1!D145</f>
        <v>278006322</v>
      </c>
      <c r="D151" s="97" t="str">
        <f>Sheet1!E145</f>
        <v>68</v>
      </c>
      <c r="E151" s="41" t="s">
        <v>23</v>
      </c>
      <c r="F151" s="98"/>
      <c r="G151" s="97">
        <f>Sheet1!I145</f>
        <v>32752867</v>
      </c>
      <c r="H151" s="97" t="str">
        <f>Sheet1!J145</f>
        <v>12</v>
      </c>
    </row>
    <row r="152" spans="1:8" ht="22.5" customHeight="1">
      <c r="A152" s="51"/>
      <c r="B152" s="99"/>
      <c r="C152" s="100"/>
      <c r="D152" s="100"/>
      <c r="E152" s="41" t="s">
        <v>24</v>
      </c>
      <c r="F152" s="98"/>
      <c r="G152" s="100"/>
      <c r="H152" s="100"/>
    </row>
    <row r="153" spans="1:12" ht="22.5" customHeight="1">
      <c r="A153" s="51"/>
      <c r="B153" s="99"/>
      <c r="C153" s="101">
        <f>Sheet1!D146</f>
        <v>-18760172</v>
      </c>
      <c r="D153" s="101" t="str">
        <f>Sheet1!E146</f>
        <v>47</v>
      </c>
      <c r="E153" s="41" t="s">
        <v>27</v>
      </c>
      <c r="F153" s="98"/>
      <c r="G153" s="101">
        <f>Sheet1!I146</f>
        <v>-6559399</v>
      </c>
      <c r="H153" s="101" t="str">
        <f>Sheet1!J146</f>
        <v>30</v>
      </c>
      <c r="L153" s="181">
        <f>+Sheet1!G147</f>
        <v>39332618.92999999</v>
      </c>
    </row>
    <row r="154" spans="1:11" ht="22.5" customHeight="1">
      <c r="A154" s="51"/>
      <c r="B154" s="99"/>
      <c r="C154" s="101"/>
      <c r="D154" s="101"/>
      <c r="E154" s="41" t="s">
        <v>28</v>
      </c>
      <c r="F154" s="98"/>
      <c r="G154" s="101"/>
      <c r="H154" s="101"/>
      <c r="K154" s="61">
        <v>39332618.93</v>
      </c>
    </row>
    <row r="155" spans="1:12" ht="22.5" customHeight="1" thickBot="1">
      <c r="A155" s="51"/>
      <c r="B155" s="99"/>
      <c r="C155" s="94">
        <f>Sheet1!D147</f>
        <v>39332618</v>
      </c>
      <c r="D155" s="94" t="str">
        <f>Sheet1!E147</f>
        <v>93</v>
      </c>
      <c r="E155" s="41" t="s">
        <v>25</v>
      </c>
      <c r="F155" s="102"/>
      <c r="G155" s="95">
        <f>Sheet1!I147</f>
        <v>39332618</v>
      </c>
      <c r="H155" s="95" t="str">
        <f>Sheet1!J147</f>
        <v>93</v>
      </c>
      <c r="J155" s="182" t="s">
        <v>330</v>
      </c>
      <c r="L155" s="183">
        <f>+L153-K154</f>
        <v>0</v>
      </c>
    </row>
    <row r="156" ht="21" customHeight="1" thickTop="1">
      <c r="K156" s="24" t="s">
        <v>399</v>
      </c>
    </row>
    <row r="157" spans="10:12" ht="21" customHeight="1">
      <c r="J157" s="61" t="s">
        <v>330</v>
      </c>
      <c r="K157" s="61">
        <f>+K154-G155</f>
        <v>0.9299999997019768</v>
      </c>
      <c r="L157" s="181">
        <f>+K154-G155</f>
        <v>0.9299999997019768</v>
      </c>
    </row>
    <row r="158" ht="21" customHeight="1"/>
    <row r="159" spans="3:11" ht="21" customHeight="1">
      <c r="C159" s="24" t="s">
        <v>330</v>
      </c>
      <c r="K159" s="24" t="s">
        <v>400</v>
      </c>
    </row>
    <row r="160" spans="11:12" ht="21" customHeight="1">
      <c r="K160" s="61">
        <f>+K154-C155</f>
        <v>0.9299999997019768</v>
      </c>
      <c r="L160" s="181">
        <v>0</v>
      </c>
    </row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/>
  <mergeCells count="40">
    <mergeCell ref="A118:H118"/>
    <mergeCell ref="A119:D119"/>
    <mergeCell ref="E119:E121"/>
    <mergeCell ref="G119:H119"/>
    <mergeCell ref="A120:B120"/>
    <mergeCell ref="C120:D120"/>
    <mergeCell ref="G120:H120"/>
    <mergeCell ref="A121:B121"/>
    <mergeCell ref="C121:D121"/>
    <mergeCell ref="G121:H121"/>
    <mergeCell ref="G76:H76"/>
    <mergeCell ref="A77:B77"/>
    <mergeCell ref="C77:D77"/>
    <mergeCell ref="G77:H77"/>
    <mergeCell ref="A78:B78"/>
    <mergeCell ref="C78:D78"/>
    <mergeCell ref="G78:H78"/>
    <mergeCell ref="A45:B45"/>
    <mergeCell ref="C46:D46"/>
    <mergeCell ref="E44:E46"/>
    <mergeCell ref="A44:D44"/>
    <mergeCell ref="A46:B46"/>
    <mergeCell ref="A76:D76"/>
    <mergeCell ref="E76:E78"/>
    <mergeCell ref="A2:H2"/>
    <mergeCell ref="A4:D4"/>
    <mergeCell ref="A5:B5"/>
    <mergeCell ref="A6:B6"/>
    <mergeCell ref="C6:D6"/>
    <mergeCell ref="G44:H44"/>
    <mergeCell ref="G45:H45"/>
    <mergeCell ref="A75:H75"/>
    <mergeCell ref="G46:H46"/>
    <mergeCell ref="A43:H43"/>
    <mergeCell ref="C45:D45"/>
    <mergeCell ref="G5:H5"/>
    <mergeCell ref="E4:E6"/>
    <mergeCell ref="G4:H4"/>
    <mergeCell ref="G6:H6"/>
    <mergeCell ref="C5:D5"/>
  </mergeCells>
  <printOptions/>
  <pageMargins left="0.2755905511811024" right="0.1968503937007874" top="0.1968503937007874" bottom="0.1968503937007874" header="0.15748031496062992" footer="0.15748031496062992"/>
  <pageSetup horizontalDpi="600" verticalDpi="600" orientation="portrait" paperSize="9" scale="89" r:id="rId2"/>
  <rowBreaks count="4" manualBreakCount="4">
    <brk id="42" max="23" man="1"/>
    <brk id="74" max="23" man="1"/>
    <brk id="117" max="23" man="1"/>
    <brk id="157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118" zoomScaleSheetLayoutView="118" zoomScalePageLayoutView="0" workbookViewId="0" topLeftCell="A50">
      <selection activeCell="H53" sqref="H53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8515625" style="43" customWidth="1"/>
    <col min="4" max="4" width="10.00390625" style="43" customWidth="1"/>
    <col min="5" max="5" width="18.421875" style="43" customWidth="1"/>
    <col min="6" max="6" width="19.140625" style="43" customWidth="1"/>
    <col min="7" max="7" width="9.140625" style="43" customWidth="1"/>
    <col min="8" max="9" width="16.421875" style="43" bestFit="1" customWidth="1"/>
    <col min="10" max="16384" width="9.140625" style="43" customWidth="1"/>
  </cols>
  <sheetData>
    <row r="1" spans="1:6" ht="23.25" customHeight="1">
      <c r="A1" s="226" t="s">
        <v>260</v>
      </c>
      <c r="B1" s="226"/>
      <c r="C1" s="226"/>
      <c r="D1" s="226"/>
      <c r="E1" s="226"/>
      <c r="F1" s="226"/>
    </row>
    <row r="2" spans="1:6" ht="23.25" customHeight="1">
      <c r="A2" s="226" t="s">
        <v>52</v>
      </c>
      <c r="B2" s="226"/>
      <c r="C2" s="226"/>
      <c r="D2" s="226"/>
      <c r="E2" s="226"/>
      <c r="F2" s="226"/>
    </row>
    <row r="3" spans="1:6" ht="23.25" customHeight="1">
      <c r="A3" s="224" t="s">
        <v>393</v>
      </c>
      <c r="B3" s="224"/>
      <c r="C3" s="224"/>
      <c r="D3" s="224"/>
      <c r="E3" s="224"/>
      <c r="F3" s="224"/>
    </row>
    <row r="4" spans="1:6" ht="23.25" customHeight="1">
      <c r="A4" s="227" t="s">
        <v>4</v>
      </c>
      <c r="B4" s="228"/>
      <c r="C4" s="229"/>
      <c r="D4" s="62" t="s">
        <v>53</v>
      </c>
      <c r="E4" s="62" t="s">
        <v>54</v>
      </c>
      <c r="F4" s="62" t="s">
        <v>55</v>
      </c>
    </row>
    <row r="5" spans="1:6" ht="22.5" customHeight="1" hidden="1">
      <c r="A5" s="63" t="s">
        <v>68</v>
      </c>
      <c r="B5" s="64"/>
      <c r="C5" s="65"/>
      <c r="D5" s="66">
        <v>111100</v>
      </c>
      <c r="E5" s="56">
        <v>0</v>
      </c>
      <c r="F5" s="67"/>
    </row>
    <row r="6" spans="1:9" ht="22.5" customHeight="1">
      <c r="A6" s="68" t="s">
        <v>56</v>
      </c>
      <c r="B6" s="69"/>
      <c r="C6" s="70"/>
      <c r="D6" s="71" t="s">
        <v>308</v>
      </c>
      <c r="E6" s="44">
        <v>18640367.59</v>
      </c>
      <c r="F6" s="44"/>
      <c r="H6" s="177"/>
      <c r="I6" s="111"/>
    </row>
    <row r="7" spans="1:9" ht="22.5" customHeight="1">
      <c r="A7" s="72" t="s">
        <v>84</v>
      </c>
      <c r="B7" s="73"/>
      <c r="C7" s="74"/>
      <c r="D7" s="71" t="s">
        <v>308</v>
      </c>
      <c r="E7" s="44">
        <v>35683.72</v>
      </c>
      <c r="F7" s="44"/>
      <c r="H7" s="177" t="s">
        <v>395</v>
      </c>
      <c r="I7" s="111"/>
    </row>
    <row r="8" spans="1:9" ht="22.5" customHeight="1">
      <c r="A8" s="72" t="s">
        <v>81</v>
      </c>
      <c r="B8" s="73"/>
      <c r="C8" s="74"/>
      <c r="D8" s="71" t="s">
        <v>309</v>
      </c>
      <c r="E8" s="44">
        <v>5406373.89</v>
      </c>
      <c r="F8" s="44"/>
      <c r="H8" s="177"/>
      <c r="I8" s="111"/>
    </row>
    <row r="9" spans="1:9" ht="22.5" customHeight="1">
      <c r="A9" s="72" t="s">
        <v>76</v>
      </c>
      <c r="B9" s="73"/>
      <c r="C9" s="74"/>
      <c r="D9" s="71" t="s">
        <v>310</v>
      </c>
      <c r="E9" s="44">
        <v>4328502.88</v>
      </c>
      <c r="F9" s="44"/>
      <c r="H9" s="177"/>
      <c r="I9" s="111"/>
    </row>
    <row r="10" spans="1:9" ht="22.5" customHeight="1">
      <c r="A10" s="72" t="s">
        <v>161</v>
      </c>
      <c r="B10" s="73"/>
      <c r="C10" s="74"/>
      <c r="D10" s="71" t="s">
        <v>308</v>
      </c>
      <c r="E10" s="44">
        <v>512495.16</v>
      </c>
      <c r="F10" s="44"/>
      <c r="H10" s="177"/>
      <c r="I10" s="111"/>
    </row>
    <row r="11" spans="1:9" ht="22.5" customHeight="1">
      <c r="A11" s="72" t="s">
        <v>162</v>
      </c>
      <c r="B11" s="73"/>
      <c r="C11" s="74"/>
      <c r="D11" s="71" t="s">
        <v>309</v>
      </c>
      <c r="E11" s="44">
        <v>10000000</v>
      </c>
      <c r="F11" s="44"/>
      <c r="H11" s="177"/>
      <c r="I11" s="111"/>
    </row>
    <row r="12" spans="1:9" ht="22.5" customHeight="1">
      <c r="A12" s="72" t="s">
        <v>188</v>
      </c>
      <c r="B12" s="73"/>
      <c r="C12" s="74"/>
      <c r="D12" s="71" t="s">
        <v>308</v>
      </c>
      <c r="E12" s="44">
        <v>409195.69</v>
      </c>
      <c r="F12" s="44"/>
      <c r="H12" s="177">
        <f>+E12+E11+E10+E9+E8+E7+E6</f>
        <v>39332618.93</v>
      </c>
      <c r="I12" s="111"/>
    </row>
    <row r="13" spans="1:9" ht="22.5" customHeight="1">
      <c r="A13" s="76" t="s">
        <v>29</v>
      </c>
      <c r="B13" s="77"/>
      <c r="C13" s="78"/>
      <c r="D13" s="120" t="s">
        <v>257</v>
      </c>
      <c r="E13" s="115">
        <v>8903852.12</v>
      </c>
      <c r="F13" s="44"/>
      <c r="I13" s="111"/>
    </row>
    <row r="14" spans="1:6" ht="22.5" customHeight="1">
      <c r="A14" s="72" t="s">
        <v>132</v>
      </c>
      <c r="B14" s="73"/>
      <c r="C14" s="74"/>
      <c r="D14" s="71" t="s">
        <v>252</v>
      </c>
      <c r="E14" s="44">
        <v>88852383</v>
      </c>
      <c r="F14" s="44"/>
    </row>
    <row r="15" spans="1:6" ht="22.5" customHeight="1" hidden="1">
      <c r="A15" s="72" t="s">
        <v>119</v>
      </c>
      <c r="B15" s="73"/>
      <c r="C15" s="74"/>
      <c r="D15" s="71" t="s">
        <v>250</v>
      </c>
      <c r="E15" s="44"/>
      <c r="F15" s="44"/>
    </row>
    <row r="16" spans="1:6" ht="22.5" customHeight="1">
      <c r="A16" s="72" t="s">
        <v>50</v>
      </c>
      <c r="B16" s="73"/>
      <c r="C16" s="74"/>
      <c r="D16" s="71" t="s">
        <v>235</v>
      </c>
      <c r="E16" s="44">
        <v>46351</v>
      </c>
      <c r="F16" s="44"/>
    </row>
    <row r="17" spans="1:6" ht="22.5" customHeight="1" hidden="1">
      <c r="A17" s="72" t="s">
        <v>74</v>
      </c>
      <c r="B17" s="73"/>
      <c r="C17" s="74"/>
      <c r="D17" s="71" t="s">
        <v>236</v>
      </c>
      <c r="E17" s="44"/>
      <c r="F17" s="44"/>
    </row>
    <row r="18" spans="1:6" ht="22.5" customHeight="1">
      <c r="A18" s="72" t="s">
        <v>83</v>
      </c>
      <c r="B18" s="73"/>
      <c r="C18" s="74"/>
      <c r="D18" s="71" t="s">
        <v>237</v>
      </c>
      <c r="E18" s="44">
        <v>91257</v>
      </c>
      <c r="F18" s="44"/>
    </row>
    <row r="19" spans="1:6" ht="22.5" customHeight="1">
      <c r="A19" s="72" t="s">
        <v>69</v>
      </c>
      <c r="B19" s="73"/>
      <c r="C19" s="74"/>
      <c r="D19" s="71" t="s">
        <v>238</v>
      </c>
      <c r="E19" s="44">
        <v>78200</v>
      </c>
      <c r="F19" s="44"/>
    </row>
    <row r="20" spans="1:6" ht="22.5" customHeight="1">
      <c r="A20" s="72" t="s">
        <v>115</v>
      </c>
      <c r="B20" s="73"/>
      <c r="C20" s="74"/>
      <c r="D20" s="71" t="s">
        <v>239</v>
      </c>
      <c r="E20" s="115">
        <v>450700</v>
      </c>
      <c r="F20" s="44"/>
    </row>
    <row r="21" spans="1:6" ht="22.5" customHeight="1" hidden="1">
      <c r="A21" s="72" t="s">
        <v>258</v>
      </c>
      <c r="B21" s="73"/>
      <c r="C21" s="74"/>
      <c r="D21" s="71" t="s">
        <v>241</v>
      </c>
      <c r="E21" s="115"/>
      <c r="F21" s="44"/>
    </row>
    <row r="22" spans="1:6" ht="22.5" customHeight="1">
      <c r="A22" s="72" t="s">
        <v>14</v>
      </c>
      <c r="B22" s="73"/>
      <c r="C22" s="74"/>
      <c r="D22" s="71" t="s">
        <v>248</v>
      </c>
      <c r="E22" s="44">
        <v>14300753.52</v>
      </c>
      <c r="F22" s="44"/>
    </row>
    <row r="23" spans="1:7" ht="22.5" customHeight="1">
      <c r="A23" s="72" t="s">
        <v>154</v>
      </c>
      <c r="B23" s="73"/>
      <c r="C23" s="74"/>
      <c r="D23" s="71" t="s">
        <v>251</v>
      </c>
      <c r="E23" s="44">
        <v>3203786.12</v>
      </c>
      <c r="F23" s="44"/>
      <c r="G23" s="43" t="s">
        <v>358</v>
      </c>
    </row>
    <row r="24" spans="1:7" ht="22.5" customHeight="1">
      <c r="A24" s="72" t="s">
        <v>259</v>
      </c>
      <c r="B24" s="73"/>
      <c r="C24" s="74"/>
      <c r="D24" s="71" t="s">
        <v>249</v>
      </c>
      <c r="E24" s="44">
        <v>20325826.77</v>
      </c>
      <c r="F24" s="44"/>
      <c r="G24" s="43" t="s">
        <v>358</v>
      </c>
    </row>
    <row r="25" spans="1:7" ht="22.5" customHeight="1">
      <c r="A25" s="72" t="s">
        <v>275</v>
      </c>
      <c r="B25" s="73"/>
      <c r="C25" s="74"/>
      <c r="D25" s="71" t="s">
        <v>249</v>
      </c>
      <c r="E25" s="44">
        <v>878995</v>
      </c>
      <c r="F25" s="44"/>
      <c r="G25" s="43" t="s">
        <v>358</v>
      </c>
    </row>
    <row r="26" spans="1:8" ht="22.5" customHeight="1">
      <c r="A26" s="72" t="s">
        <v>276</v>
      </c>
      <c r="B26" s="73"/>
      <c r="C26" s="74"/>
      <c r="D26" s="71" t="s">
        <v>249</v>
      </c>
      <c r="E26" s="44">
        <v>35284266.07</v>
      </c>
      <c r="F26" s="44"/>
      <c r="G26" s="43" t="s">
        <v>358</v>
      </c>
      <c r="H26" s="111">
        <f>+E26+E25+E24+E23</f>
        <v>59692873.96</v>
      </c>
    </row>
    <row r="27" spans="1:8" ht="22.5" customHeight="1">
      <c r="A27" s="72" t="s">
        <v>15</v>
      </c>
      <c r="B27" s="73"/>
      <c r="C27" s="74"/>
      <c r="D27" s="71" t="s">
        <v>38</v>
      </c>
      <c r="E27" s="44">
        <v>2566021.68</v>
      </c>
      <c r="F27" s="44"/>
      <c r="H27" s="111">
        <f>+E27+E28+E29+E30</f>
        <v>40486054.15</v>
      </c>
    </row>
    <row r="28" spans="1:6" ht="22.5" customHeight="1">
      <c r="A28" s="72" t="s">
        <v>16</v>
      </c>
      <c r="B28" s="73"/>
      <c r="C28" s="74"/>
      <c r="D28" s="71" t="s">
        <v>39</v>
      </c>
      <c r="E28" s="44">
        <v>26550041.58</v>
      </c>
      <c r="F28" s="44"/>
    </row>
    <row r="29" spans="1:6" ht="22.5" customHeight="1">
      <c r="A29" s="72" t="s">
        <v>17</v>
      </c>
      <c r="B29" s="73"/>
      <c r="C29" s="74"/>
      <c r="D29" s="71" t="s">
        <v>40</v>
      </c>
      <c r="E29" s="44">
        <v>9187810.91</v>
      </c>
      <c r="F29" s="44"/>
    </row>
    <row r="30" spans="1:6" ht="22.5" customHeight="1">
      <c r="A30" s="72" t="s">
        <v>18</v>
      </c>
      <c r="B30" s="73"/>
      <c r="C30" s="74"/>
      <c r="D30" s="71" t="s">
        <v>41</v>
      </c>
      <c r="E30" s="44">
        <v>2182179.98</v>
      </c>
      <c r="F30" s="44"/>
    </row>
    <row r="31" spans="1:6" ht="22.5" customHeight="1">
      <c r="A31" s="72" t="s">
        <v>19</v>
      </c>
      <c r="B31" s="73"/>
      <c r="C31" s="74"/>
      <c r="D31" s="71" t="s">
        <v>42</v>
      </c>
      <c r="E31" s="44">
        <v>16455803.8</v>
      </c>
      <c r="F31" s="44"/>
    </row>
    <row r="32" spans="1:6" ht="22.5" customHeight="1">
      <c r="A32" s="57" t="s">
        <v>20</v>
      </c>
      <c r="B32" s="75"/>
      <c r="C32" s="74"/>
      <c r="D32" s="58" t="s">
        <v>43</v>
      </c>
      <c r="E32" s="44">
        <v>31898377</v>
      </c>
      <c r="F32" s="44"/>
    </row>
    <row r="33" spans="1:8" ht="22.5" customHeight="1">
      <c r="A33" s="59" t="s">
        <v>10</v>
      </c>
      <c r="B33" s="75"/>
      <c r="C33" s="74"/>
      <c r="D33" s="58" t="s">
        <v>77</v>
      </c>
      <c r="E33" s="44">
        <v>3507000</v>
      </c>
      <c r="F33" s="44"/>
      <c r="H33" s="111">
        <f>+E33+E32+E31+E30+E29+E28+E27+E26+E25+E24+E23+E22</f>
        <v>166340862.43000004</v>
      </c>
    </row>
    <row r="34" spans="1:6" ht="22.5" customHeight="1" hidden="1">
      <c r="A34" s="59" t="s">
        <v>193</v>
      </c>
      <c r="B34" s="75"/>
      <c r="C34" s="74"/>
      <c r="D34" s="58" t="s">
        <v>194</v>
      </c>
      <c r="E34" s="44"/>
      <c r="F34" s="44"/>
    </row>
    <row r="35" spans="1:6" ht="22.5" customHeight="1">
      <c r="A35" s="59" t="s">
        <v>394</v>
      </c>
      <c r="B35" s="75"/>
      <c r="C35" s="74"/>
      <c r="D35" s="58" t="s">
        <v>244</v>
      </c>
      <c r="E35" s="44" t="s">
        <v>330</v>
      </c>
      <c r="F35" s="44">
        <v>78200</v>
      </c>
    </row>
    <row r="36" spans="1:9" ht="22.5" customHeight="1">
      <c r="A36" s="72"/>
      <c r="B36" s="73" t="s">
        <v>129</v>
      </c>
      <c r="C36" s="74"/>
      <c r="D36" s="71" t="s">
        <v>311</v>
      </c>
      <c r="E36" s="44"/>
      <c r="F36" s="44">
        <v>169532032.62</v>
      </c>
      <c r="H36" s="43" t="s">
        <v>342</v>
      </c>
      <c r="I36" s="111"/>
    </row>
    <row r="37" spans="1:8" ht="22.5" customHeight="1">
      <c r="A37" s="76"/>
      <c r="B37" s="77" t="s">
        <v>75</v>
      </c>
      <c r="C37" s="78"/>
      <c r="D37" s="71" t="s">
        <v>242</v>
      </c>
      <c r="E37" s="44"/>
      <c r="F37" s="172">
        <v>2460377.48</v>
      </c>
      <c r="H37" s="43" t="s">
        <v>349</v>
      </c>
    </row>
    <row r="38" spans="1:6" ht="22.5" customHeight="1">
      <c r="A38" s="76"/>
      <c r="B38" s="77" t="s">
        <v>246</v>
      </c>
      <c r="C38" s="78"/>
      <c r="D38" s="71" t="s">
        <v>247</v>
      </c>
      <c r="E38" s="44"/>
      <c r="F38" s="44">
        <v>0</v>
      </c>
    </row>
    <row r="39" spans="1:6" ht="22.5" customHeight="1">
      <c r="A39" s="76"/>
      <c r="B39" s="77" t="s">
        <v>21</v>
      </c>
      <c r="C39" s="78"/>
      <c r="D39" s="71" t="s">
        <v>245</v>
      </c>
      <c r="E39" s="44"/>
      <c r="F39" s="44">
        <v>4946800</v>
      </c>
    </row>
    <row r="40" spans="1:6" ht="22.5" customHeight="1" hidden="1">
      <c r="A40" s="76"/>
      <c r="B40" s="77" t="s">
        <v>96</v>
      </c>
      <c r="C40" s="78"/>
      <c r="D40" s="71" t="s">
        <v>244</v>
      </c>
      <c r="E40" s="44"/>
      <c r="F40" s="44"/>
    </row>
    <row r="41" spans="1:6" ht="22.5" customHeight="1">
      <c r="A41" s="76"/>
      <c r="B41" s="77" t="s">
        <v>131</v>
      </c>
      <c r="C41" s="78"/>
      <c r="D41" s="71" t="s">
        <v>254</v>
      </c>
      <c r="E41" s="44"/>
      <c r="F41" s="44">
        <v>0</v>
      </c>
    </row>
    <row r="42" spans="1:6" ht="22.5" customHeight="1">
      <c r="A42" s="76"/>
      <c r="B42" s="77" t="s">
        <v>130</v>
      </c>
      <c r="C42" s="78"/>
      <c r="D42" s="71" t="s">
        <v>243</v>
      </c>
      <c r="E42" s="44"/>
      <c r="F42" s="44">
        <v>28507322.96</v>
      </c>
    </row>
    <row r="43" spans="1:6" ht="22.5" customHeight="1">
      <c r="A43" s="76"/>
      <c r="B43" s="77" t="s">
        <v>12</v>
      </c>
      <c r="C43" s="78"/>
      <c r="D43" s="120" t="s">
        <v>109</v>
      </c>
      <c r="E43" s="115"/>
      <c r="F43" s="115">
        <v>70556306.47</v>
      </c>
    </row>
    <row r="44" spans="1:10" s="24" customFormat="1" ht="20.25" customHeight="1">
      <c r="A44" s="118" t="s">
        <v>22</v>
      </c>
      <c r="B44" s="118"/>
      <c r="C44" s="118"/>
      <c r="D44" s="118"/>
      <c r="E44" s="118"/>
      <c r="F44" s="118"/>
      <c r="G44" s="117"/>
      <c r="H44" s="117"/>
      <c r="J44" s="61"/>
    </row>
    <row r="45" spans="1:6" ht="22.5" customHeight="1">
      <c r="A45" s="223" t="s">
        <v>4</v>
      </c>
      <c r="B45" s="224"/>
      <c r="C45" s="225"/>
      <c r="D45" s="116" t="s">
        <v>53</v>
      </c>
      <c r="E45" s="116" t="s">
        <v>54</v>
      </c>
      <c r="F45" s="116" t="s">
        <v>55</v>
      </c>
    </row>
    <row r="46" spans="1:6" ht="22.5" customHeight="1">
      <c r="A46" s="76"/>
      <c r="B46" s="77" t="s">
        <v>88</v>
      </c>
      <c r="C46" s="78"/>
      <c r="D46" s="71" t="s">
        <v>57</v>
      </c>
      <c r="E46" s="44"/>
      <c r="F46" s="44">
        <v>27614398.45</v>
      </c>
    </row>
    <row r="47" spans="1:6" ht="22.5" customHeight="1">
      <c r="A47" s="131"/>
      <c r="B47" s="73" t="s">
        <v>169</v>
      </c>
      <c r="C47" s="78"/>
      <c r="D47" s="110" t="s">
        <v>218</v>
      </c>
      <c r="E47" s="132"/>
      <c r="F47" s="132">
        <v>0</v>
      </c>
    </row>
    <row r="48" spans="1:6" ht="22.5" customHeight="1">
      <c r="A48" s="131"/>
      <c r="B48" s="73" t="s">
        <v>277</v>
      </c>
      <c r="C48" s="78"/>
      <c r="D48" s="110" t="s">
        <v>218</v>
      </c>
      <c r="E48" s="132"/>
      <c r="F48" s="132">
        <v>28600</v>
      </c>
    </row>
    <row r="49" spans="1:6" ht="22.5" customHeight="1">
      <c r="A49" s="131"/>
      <c r="B49" s="73" t="s">
        <v>278</v>
      </c>
      <c r="C49" s="78"/>
      <c r="D49" s="110" t="s">
        <v>218</v>
      </c>
      <c r="E49" s="132"/>
      <c r="F49" s="132">
        <v>113600</v>
      </c>
    </row>
    <row r="50" spans="1:7" ht="22.5" customHeight="1">
      <c r="A50" s="131"/>
      <c r="B50" s="73" t="s">
        <v>288</v>
      </c>
      <c r="C50" s="78"/>
      <c r="D50" s="110" t="s">
        <v>218</v>
      </c>
      <c r="E50" s="132"/>
      <c r="F50" s="132">
        <v>68710</v>
      </c>
      <c r="G50" s="43" t="s">
        <v>358</v>
      </c>
    </row>
    <row r="51" spans="1:7" ht="22.5" customHeight="1">
      <c r="A51" s="131"/>
      <c r="B51" s="73" t="s">
        <v>289</v>
      </c>
      <c r="C51" s="78"/>
      <c r="D51" s="110" t="s">
        <v>218</v>
      </c>
      <c r="E51" s="132"/>
      <c r="F51" s="132">
        <v>49276.46</v>
      </c>
      <c r="G51" s="43" t="s">
        <v>358</v>
      </c>
    </row>
    <row r="52" spans="1:7" ht="22.5" customHeight="1">
      <c r="A52" s="131"/>
      <c r="B52" s="73" t="s">
        <v>290</v>
      </c>
      <c r="C52" s="78"/>
      <c r="D52" s="110" t="s">
        <v>218</v>
      </c>
      <c r="E52" s="132"/>
      <c r="F52" s="132">
        <v>10129.04</v>
      </c>
      <c r="G52" s="43" t="s">
        <v>358</v>
      </c>
    </row>
    <row r="53" spans="1:7" ht="22.5" customHeight="1">
      <c r="A53" s="131"/>
      <c r="B53" s="73" t="s">
        <v>291</v>
      </c>
      <c r="C53" s="78"/>
      <c r="D53" s="110" t="s">
        <v>218</v>
      </c>
      <c r="E53" s="132"/>
      <c r="F53" s="132">
        <v>4326</v>
      </c>
      <c r="G53" s="43" t="s">
        <v>358</v>
      </c>
    </row>
    <row r="54" spans="1:6" ht="22.5" customHeight="1">
      <c r="A54" s="131"/>
      <c r="B54" s="73" t="s">
        <v>285</v>
      </c>
      <c r="C54" s="78"/>
      <c r="D54" s="110" t="s">
        <v>218</v>
      </c>
      <c r="E54" s="132"/>
      <c r="F54" s="132">
        <v>32640</v>
      </c>
    </row>
    <row r="55" spans="1:6" ht="22.5" customHeight="1">
      <c r="A55" s="131"/>
      <c r="B55" s="73" t="s">
        <v>292</v>
      </c>
      <c r="C55" s="78"/>
      <c r="D55" s="110" t="s">
        <v>218</v>
      </c>
      <c r="E55" s="132"/>
      <c r="F55" s="132">
        <v>33500</v>
      </c>
    </row>
    <row r="56" spans="1:6" ht="22.5" customHeight="1">
      <c r="A56" s="131"/>
      <c r="B56" s="73" t="s">
        <v>315</v>
      </c>
      <c r="C56" s="142"/>
      <c r="D56" s="110" t="s">
        <v>218</v>
      </c>
      <c r="E56" s="132"/>
      <c r="F56" s="132">
        <v>2780</v>
      </c>
    </row>
    <row r="57" spans="1:6" ht="22.5" customHeight="1">
      <c r="A57" s="131"/>
      <c r="B57" s="73" t="s">
        <v>322</v>
      </c>
      <c r="C57" s="142"/>
      <c r="D57" s="110" t="s">
        <v>218</v>
      </c>
      <c r="E57" s="132"/>
      <c r="F57" s="132">
        <v>54500</v>
      </c>
    </row>
    <row r="58" spans="1:6" ht="22.5" customHeight="1">
      <c r="A58" s="131"/>
      <c r="B58" s="73" t="s">
        <v>323</v>
      </c>
      <c r="C58" s="142"/>
      <c r="D58" s="110" t="s">
        <v>218</v>
      </c>
      <c r="E58" s="132"/>
      <c r="F58" s="132">
        <v>2725</v>
      </c>
    </row>
    <row r="59" spans="1:6" ht="22.5" customHeight="1">
      <c r="A59" s="124"/>
      <c r="B59" s="174" t="s">
        <v>357</v>
      </c>
      <c r="C59" s="125"/>
      <c r="D59" s="126" t="s">
        <v>218</v>
      </c>
      <c r="E59" s="127"/>
      <c r="F59" s="128">
        <v>0</v>
      </c>
    </row>
    <row r="60" spans="1:9" ht="22.5" customHeight="1">
      <c r="A60" s="79"/>
      <c r="B60" s="80"/>
      <c r="C60" s="81"/>
      <c r="D60" s="82"/>
      <c r="E60" s="83">
        <f>SUM(E6:E59)</f>
        <v>304096224.48</v>
      </c>
      <c r="F60" s="83">
        <f>SUM(F6:F59)</f>
        <v>304096224.47999996</v>
      </c>
      <c r="H60" s="111">
        <f>+F60-E60</f>
        <v>0</v>
      </c>
      <c r="I60" s="111">
        <f>E60-F60</f>
        <v>0</v>
      </c>
    </row>
    <row r="61" spans="1:6" ht="22.5" customHeight="1">
      <c r="A61" s="84"/>
      <c r="B61" s="84"/>
      <c r="C61" s="85"/>
      <c r="D61" s="86"/>
      <c r="E61" s="87"/>
      <c r="F61" s="87"/>
    </row>
    <row r="62" spans="1:6" ht="22.5" customHeight="1">
      <c r="A62" s="84"/>
      <c r="B62" s="84"/>
      <c r="C62" s="85"/>
      <c r="D62" s="86"/>
      <c r="E62" s="87"/>
      <c r="F62" s="87"/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2.5" customHeight="1">
      <c r="A70" s="84"/>
      <c r="B70" s="84"/>
      <c r="C70" s="85"/>
      <c r="D70" s="86"/>
      <c r="E70" s="87"/>
      <c r="F70" s="87"/>
    </row>
    <row r="71" spans="1:6" ht="22.5" customHeight="1">
      <c r="A71" s="84"/>
      <c r="B71" s="84"/>
      <c r="C71" s="85"/>
      <c r="D71" s="86"/>
      <c r="E71" s="87"/>
      <c r="F71" s="87"/>
    </row>
    <row r="72" spans="1:6" ht="22.5" customHeight="1">
      <c r="A72" s="84"/>
      <c r="B72" s="84"/>
      <c r="C72" s="85"/>
      <c r="D72" s="86"/>
      <c r="E72" s="87"/>
      <c r="F72" s="87"/>
    </row>
    <row r="73" spans="1:6" ht="22.5" customHeight="1">
      <c r="A73" s="84"/>
      <c r="B73" s="84"/>
      <c r="C73" s="85"/>
      <c r="D73" s="86"/>
      <c r="E73" s="87"/>
      <c r="F73" s="87"/>
    </row>
    <row r="74" spans="1:6" ht="23.25" customHeight="1">
      <c r="A74" s="84"/>
      <c r="B74" s="84"/>
      <c r="C74" s="85"/>
      <c r="D74" s="86"/>
      <c r="E74" s="87"/>
      <c r="F74" s="87"/>
    </row>
    <row r="75" spans="1:6" ht="23.2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3.25" customHeight="1">
      <c r="A78" s="84"/>
      <c r="B78" s="84"/>
      <c r="C78" s="85"/>
      <c r="D78" s="86"/>
      <c r="E78" s="87"/>
      <c r="F78" s="87"/>
    </row>
    <row r="79" spans="1:6" ht="23.25" customHeight="1">
      <c r="A79" s="84"/>
      <c r="B79" s="84"/>
      <c r="C79" s="85"/>
      <c r="D79" s="86"/>
      <c r="E79" s="87"/>
      <c r="F79" s="87"/>
    </row>
    <row r="80" spans="1:6" ht="23.25" customHeight="1">
      <c r="A80" s="84"/>
      <c r="B80" s="84"/>
      <c r="C80" s="85"/>
      <c r="D80" s="86"/>
      <c r="E80" s="87"/>
      <c r="F80" s="87"/>
    </row>
    <row r="81" spans="1:6" ht="23.25" customHeight="1">
      <c r="A81" s="84"/>
      <c r="B81" s="84"/>
      <c r="C81" s="85"/>
      <c r="D81" s="86"/>
      <c r="E81" s="87"/>
      <c r="F81" s="87"/>
    </row>
    <row r="82" spans="1:6" ht="21.75" customHeight="1">
      <c r="A82" s="84"/>
      <c r="B82" s="84"/>
      <c r="C82" s="85"/>
      <c r="D82" s="86"/>
      <c r="E82" s="87"/>
      <c r="F82" s="87"/>
    </row>
    <row r="83" spans="1:6" ht="21.75" customHeight="1">
      <c r="A83" s="84"/>
      <c r="B83" s="84"/>
      <c r="C83" s="85"/>
      <c r="D83" s="86"/>
      <c r="E83" s="87"/>
      <c r="F83" s="87"/>
    </row>
  </sheetData>
  <sheetProtection/>
  <mergeCells count="5">
    <mergeCell ref="A45:C45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4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130" zoomScaleSheetLayoutView="130" zoomScalePageLayoutView="0" workbookViewId="0" topLeftCell="A16">
      <selection activeCell="I10" sqref="I10"/>
    </sheetView>
  </sheetViews>
  <sheetFormatPr defaultColWidth="9.140625" defaultRowHeight="21.75"/>
  <cols>
    <col min="1" max="1" width="40.140625" style="4" customWidth="1"/>
    <col min="2" max="2" width="16.140625" style="4" customWidth="1"/>
    <col min="3" max="3" width="15.57421875" style="4" customWidth="1"/>
    <col min="4" max="4" width="15.421875" style="4" customWidth="1"/>
    <col min="5" max="5" width="15.7109375" style="136" bestFit="1" customWidth="1"/>
    <col min="6" max="16384" width="9.140625" style="4" customWidth="1"/>
  </cols>
  <sheetData>
    <row r="1" spans="1:5" ht="23.25">
      <c r="A1" s="230" t="s">
        <v>260</v>
      </c>
      <c r="B1" s="230"/>
      <c r="C1" s="230"/>
      <c r="D1" s="230"/>
      <c r="E1" s="230"/>
    </row>
    <row r="2" spans="1:7" ht="23.25">
      <c r="A2" s="230" t="s">
        <v>58</v>
      </c>
      <c r="B2" s="230"/>
      <c r="C2" s="230"/>
      <c r="D2" s="230"/>
      <c r="E2" s="230"/>
      <c r="G2" s="4" t="s">
        <v>330</v>
      </c>
    </row>
    <row r="3" spans="1:5" ht="23.25">
      <c r="A3" s="230" t="s">
        <v>381</v>
      </c>
      <c r="B3" s="230"/>
      <c r="C3" s="230"/>
      <c r="D3" s="230"/>
      <c r="E3" s="230"/>
    </row>
    <row r="4" spans="1:5" ht="23.25">
      <c r="A4" s="9"/>
      <c r="B4" s="9"/>
      <c r="C4" s="9"/>
      <c r="D4" s="9"/>
      <c r="E4" s="9"/>
    </row>
    <row r="5" spans="1:6" ht="23.25">
      <c r="A5" s="10" t="s">
        <v>11</v>
      </c>
      <c r="B5" s="20" t="s">
        <v>73</v>
      </c>
      <c r="C5" s="11" t="s">
        <v>59</v>
      </c>
      <c r="D5" s="11" t="s">
        <v>60</v>
      </c>
      <c r="E5" s="11" t="s">
        <v>61</v>
      </c>
      <c r="F5" s="6"/>
    </row>
    <row r="6" spans="1:7" ht="23.25">
      <c r="A6" s="12" t="s">
        <v>62</v>
      </c>
      <c r="B6" s="13">
        <v>126472.19</v>
      </c>
      <c r="C6" s="14">
        <v>45725.52</v>
      </c>
      <c r="D6" s="13">
        <v>126472.19</v>
      </c>
      <c r="E6" s="13">
        <f aca="true" t="shared" si="0" ref="E6:E25">+B6+C6-D6</f>
        <v>45725.51999999999</v>
      </c>
      <c r="G6" s="4" t="s">
        <v>355</v>
      </c>
    </row>
    <row r="7" spans="1:5" ht="23.25">
      <c r="A7" s="12" t="s">
        <v>64</v>
      </c>
      <c r="B7" s="15">
        <v>46425.35</v>
      </c>
      <c r="C7" s="16">
        <v>18.2</v>
      </c>
      <c r="D7" s="15">
        <v>0</v>
      </c>
      <c r="E7" s="15">
        <f t="shared" si="0"/>
        <v>46443.549999999996</v>
      </c>
    </row>
    <row r="8" spans="1:5" ht="23.25">
      <c r="A8" s="12" t="s">
        <v>97</v>
      </c>
      <c r="B8" s="15">
        <v>183570</v>
      </c>
      <c r="C8" s="16">
        <v>0</v>
      </c>
      <c r="D8" s="15">
        <v>183570</v>
      </c>
      <c r="E8" s="15">
        <f t="shared" si="0"/>
        <v>0</v>
      </c>
    </row>
    <row r="9" spans="1:5" ht="23.25">
      <c r="A9" s="12" t="s">
        <v>63</v>
      </c>
      <c r="B9" s="15">
        <v>1443679</v>
      </c>
      <c r="C9" s="121">
        <v>37378</v>
      </c>
      <c r="D9" s="15">
        <v>25273</v>
      </c>
      <c r="E9" s="15">
        <f t="shared" si="0"/>
        <v>1455784</v>
      </c>
    </row>
    <row r="10" spans="1:5" ht="23.25">
      <c r="A10" s="12" t="s">
        <v>98</v>
      </c>
      <c r="B10" s="15">
        <v>10350</v>
      </c>
      <c r="C10" s="15">
        <v>0</v>
      </c>
      <c r="D10" s="15">
        <v>0</v>
      </c>
      <c r="E10" s="15">
        <f t="shared" si="0"/>
        <v>10350</v>
      </c>
    </row>
    <row r="11" spans="1:5" ht="23.25">
      <c r="A11" s="12" t="s">
        <v>227</v>
      </c>
      <c r="B11" s="15">
        <v>360000</v>
      </c>
      <c r="C11" s="15">
        <v>0</v>
      </c>
      <c r="D11" s="15">
        <v>0</v>
      </c>
      <c r="E11" s="15">
        <f t="shared" si="0"/>
        <v>360000</v>
      </c>
    </row>
    <row r="12" spans="1:5" ht="23.25">
      <c r="A12" s="12" t="s">
        <v>9</v>
      </c>
      <c r="B12" s="15">
        <v>6803</v>
      </c>
      <c r="C12" s="15">
        <v>0</v>
      </c>
      <c r="D12" s="15">
        <v>865</v>
      </c>
      <c r="E12" s="15">
        <f t="shared" si="0"/>
        <v>5938</v>
      </c>
    </row>
    <row r="13" spans="1:5" ht="23.25">
      <c r="A13" s="12" t="s">
        <v>65</v>
      </c>
      <c r="B13" s="15">
        <v>126940.72</v>
      </c>
      <c r="C13" s="15">
        <v>0</v>
      </c>
      <c r="D13" s="15">
        <v>0</v>
      </c>
      <c r="E13" s="15">
        <f t="shared" si="0"/>
        <v>126940.72</v>
      </c>
    </row>
    <row r="14" spans="1:5" ht="23.25">
      <c r="A14" s="12" t="s">
        <v>123</v>
      </c>
      <c r="B14" s="15">
        <v>0</v>
      </c>
      <c r="C14" s="16">
        <v>0</v>
      </c>
      <c r="D14" s="16">
        <v>0</v>
      </c>
      <c r="E14" s="15">
        <f t="shared" si="0"/>
        <v>0</v>
      </c>
    </row>
    <row r="15" spans="1:5" ht="23.25">
      <c r="A15" s="12" t="s">
        <v>163</v>
      </c>
      <c r="B15" s="15">
        <v>0</v>
      </c>
      <c r="C15" s="16">
        <v>0</v>
      </c>
      <c r="D15" s="16">
        <v>0</v>
      </c>
      <c r="E15" s="15">
        <f t="shared" si="0"/>
        <v>0</v>
      </c>
    </row>
    <row r="16" spans="1:5" ht="23.25">
      <c r="A16" s="12" t="s">
        <v>156</v>
      </c>
      <c r="B16" s="15">
        <v>0</v>
      </c>
      <c r="C16" s="16">
        <v>820</v>
      </c>
      <c r="D16" s="16">
        <v>820</v>
      </c>
      <c r="E16" s="15">
        <f t="shared" si="0"/>
        <v>0</v>
      </c>
    </row>
    <row r="17" spans="1:5" ht="23.25">
      <c r="A17" s="12" t="s">
        <v>185</v>
      </c>
      <c r="B17" s="15">
        <v>431407.75</v>
      </c>
      <c r="C17" s="16">
        <v>15445.94</v>
      </c>
      <c r="D17" s="16">
        <f>27258+10400</f>
        <v>37658</v>
      </c>
      <c r="E17" s="15">
        <f>+B17+C17-D17</f>
        <v>409195.69</v>
      </c>
    </row>
    <row r="18" spans="1:5" ht="23.25">
      <c r="A18" s="12" t="s">
        <v>316</v>
      </c>
      <c r="B18" s="15">
        <v>0</v>
      </c>
      <c r="C18" s="16">
        <v>0</v>
      </c>
      <c r="D18" s="16"/>
      <c r="E18" s="15">
        <f>+B18+C18-D18</f>
        <v>0</v>
      </c>
    </row>
    <row r="19" spans="1:5" ht="23.25">
      <c r="A19" s="24" t="s">
        <v>343</v>
      </c>
      <c r="B19" s="15">
        <v>46460</v>
      </c>
      <c r="C19" s="16">
        <v>0</v>
      </c>
      <c r="D19" s="16">
        <f>46460</f>
        <v>46460</v>
      </c>
      <c r="E19" s="15">
        <f>+B19+C19-D19</f>
        <v>0</v>
      </c>
    </row>
    <row r="20" spans="1:5" ht="23.25">
      <c r="A20" s="24" t="s">
        <v>361</v>
      </c>
      <c r="B20" s="15">
        <v>18300</v>
      </c>
      <c r="C20" s="16">
        <v>0</v>
      </c>
      <c r="D20" s="16">
        <f>11280+7020</f>
        <v>18300</v>
      </c>
      <c r="E20" s="15">
        <f>+B20+C20-D20</f>
        <v>0</v>
      </c>
    </row>
    <row r="21" spans="1:5" ht="23.25">
      <c r="A21" s="24" t="s">
        <v>362</v>
      </c>
      <c r="B21" s="15">
        <v>24000</v>
      </c>
      <c r="C21" s="16">
        <v>0</v>
      </c>
      <c r="D21" s="16">
        <f>15660+8340</f>
        <v>24000</v>
      </c>
      <c r="E21" s="15">
        <f>+B21+C21-D21</f>
        <v>0</v>
      </c>
    </row>
    <row r="22" spans="1:5" ht="23.25">
      <c r="A22" s="12" t="s">
        <v>157</v>
      </c>
      <c r="B22" s="15">
        <v>160134</v>
      </c>
      <c r="C22" s="16">
        <v>0</v>
      </c>
      <c r="D22" s="16">
        <v>160134</v>
      </c>
      <c r="E22" s="15">
        <f t="shared" si="0"/>
        <v>0</v>
      </c>
    </row>
    <row r="23" spans="1:5" ht="23.25">
      <c r="A23" s="12" t="s">
        <v>72</v>
      </c>
      <c r="B23" s="15">
        <v>0</v>
      </c>
      <c r="C23" s="16">
        <v>12500</v>
      </c>
      <c r="D23" s="16">
        <v>12500</v>
      </c>
      <c r="E23" s="15">
        <f t="shared" si="0"/>
        <v>0</v>
      </c>
    </row>
    <row r="24" spans="1:5" ht="23.25">
      <c r="A24" s="17" t="s">
        <v>70</v>
      </c>
      <c r="B24" s="15">
        <v>0</v>
      </c>
      <c r="C24" s="16">
        <v>17000</v>
      </c>
      <c r="D24" s="16">
        <v>17000</v>
      </c>
      <c r="E24" s="15">
        <f t="shared" si="0"/>
        <v>0</v>
      </c>
    </row>
    <row r="25" spans="1:10" ht="23.25">
      <c r="A25" s="17" t="s">
        <v>71</v>
      </c>
      <c r="B25" s="15">
        <v>0</v>
      </c>
      <c r="C25" s="16">
        <v>32300</v>
      </c>
      <c r="D25" s="16">
        <v>32300</v>
      </c>
      <c r="E25" s="15">
        <f t="shared" si="0"/>
        <v>0</v>
      </c>
      <c r="J25" s="4" t="s">
        <v>330</v>
      </c>
    </row>
    <row r="26" spans="1:5" ht="23.25">
      <c r="A26" s="12" t="s">
        <v>330</v>
      </c>
      <c r="B26" s="21"/>
      <c r="C26" s="21">
        <v>0</v>
      </c>
      <c r="D26" s="21"/>
      <c r="E26" s="21"/>
    </row>
    <row r="27" spans="1:5" ht="24" thickBot="1">
      <c r="A27" s="22"/>
      <c r="B27" s="23">
        <f>SUM(B6:B26)</f>
        <v>2984542.0100000002</v>
      </c>
      <c r="C27" s="23">
        <f>SUM(C6:C26)</f>
        <v>161187.66</v>
      </c>
      <c r="D27" s="23">
        <f>SUM(D6:D26)</f>
        <v>685352.19</v>
      </c>
      <c r="E27" s="23">
        <f>SUM(E6:E26)</f>
        <v>2460377.48</v>
      </c>
    </row>
    <row r="28" spans="1:5" ht="24" thickTop="1">
      <c r="A28" s="12"/>
      <c r="B28" s="12"/>
      <c r="C28" s="12"/>
      <c r="D28" s="12"/>
      <c r="E28" s="12"/>
    </row>
    <row r="29" spans="1:5" ht="24" customHeight="1">
      <c r="A29" s="10" t="s">
        <v>66</v>
      </c>
      <c r="B29" s="10"/>
      <c r="C29" s="12"/>
      <c r="D29" s="12"/>
      <c r="E29" s="19"/>
    </row>
    <row r="30" spans="1:5" ht="24" customHeight="1">
      <c r="A30" s="88" t="s">
        <v>99</v>
      </c>
      <c r="B30" s="18"/>
      <c r="C30" s="12"/>
      <c r="D30" s="12"/>
      <c r="E30" s="134" t="s">
        <v>67</v>
      </c>
    </row>
    <row r="31" spans="1:5" ht="23.25">
      <c r="A31" s="12" t="s">
        <v>228</v>
      </c>
      <c r="B31" s="18"/>
      <c r="C31" s="12"/>
      <c r="D31" s="12"/>
      <c r="E31" s="137">
        <v>0</v>
      </c>
    </row>
    <row r="32" spans="1:5" ht="23.25">
      <c r="A32" s="12" t="s">
        <v>229</v>
      </c>
      <c r="B32" s="12"/>
      <c r="C32" s="12"/>
      <c r="D32" s="12"/>
      <c r="E32" s="19">
        <v>0</v>
      </c>
    </row>
    <row r="33" spans="1:5" ht="23.25">
      <c r="A33" s="12" t="s">
        <v>230</v>
      </c>
      <c r="B33" s="12"/>
      <c r="C33" s="12"/>
      <c r="D33" s="12"/>
      <c r="E33" s="19">
        <v>0</v>
      </c>
    </row>
    <row r="34" spans="1:5" ht="24" thickBot="1">
      <c r="A34" s="12"/>
      <c r="B34" s="12"/>
      <c r="C34" s="12"/>
      <c r="D34" s="10" t="s">
        <v>32</v>
      </c>
      <c r="E34" s="135">
        <f>SUM(E31:E33)</f>
        <v>0</v>
      </c>
    </row>
    <row r="35" spans="1:5" ht="24" thickTop="1">
      <c r="A35" s="12"/>
      <c r="B35" s="12"/>
      <c r="C35" s="12"/>
      <c r="D35" s="12"/>
      <c r="E35" s="12"/>
    </row>
    <row r="36" ht="23.25">
      <c r="E36" s="4"/>
    </row>
    <row r="37" ht="23.25">
      <c r="E37" s="4"/>
    </row>
    <row r="38" ht="23.25">
      <c r="E38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3">
      <selection activeCell="A9" sqref="A9"/>
    </sheetView>
  </sheetViews>
  <sheetFormatPr defaultColWidth="9.140625" defaultRowHeight="21.75"/>
  <cols>
    <col min="1" max="1" width="39.710937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3.25">
      <c r="A1" s="230" t="s">
        <v>260</v>
      </c>
      <c r="B1" s="230"/>
      <c r="C1" s="230"/>
      <c r="D1" s="230"/>
      <c r="E1" s="230"/>
    </row>
    <row r="2" spans="1:5" ht="23.25">
      <c r="A2" s="230" t="s">
        <v>58</v>
      </c>
      <c r="B2" s="230"/>
      <c r="C2" s="230"/>
      <c r="D2" s="230"/>
      <c r="E2" s="230"/>
    </row>
    <row r="3" spans="1:5" ht="23.25">
      <c r="A3" s="230" t="s">
        <v>382</v>
      </c>
      <c r="B3" s="230"/>
      <c r="C3" s="230"/>
      <c r="D3" s="230"/>
      <c r="E3" s="230"/>
    </row>
    <row r="4" spans="1:5" ht="21" customHeight="1">
      <c r="A4" s="9"/>
      <c r="B4" s="9"/>
      <c r="C4" s="9"/>
      <c r="D4" s="9"/>
      <c r="E4" s="9"/>
    </row>
    <row r="5" spans="1:7" ht="23.25">
      <c r="A5" s="10" t="s">
        <v>11</v>
      </c>
      <c r="B5" s="20" t="s">
        <v>73</v>
      </c>
      <c r="C5" s="11" t="s">
        <v>59</v>
      </c>
      <c r="D5" s="11" t="s">
        <v>60</v>
      </c>
      <c r="E5" s="11" t="s">
        <v>61</v>
      </c>
      <c r="F5" s="6"/>
      <c r="G5" s="4" t="s">
        <v>345</v>
      </c>
    </row>
    <row r="6" spans="1:5" ht="23.25">
      <c r="A6" s="12" t="s">
        <v>62</v>
      </c>
      <c r="B6" s="13">
        <v>104711.54</v>
      </c>
      <c r="C6" s="14">
        <v>934997.37</v>
      </c>
      <c r="D6" s="13">
        <v>993983.39</v>
      </c>
      <c r="E6" s="13">
        <f>+B6+C6-D6</f>
        <v>45725.52000000002</v>
      </c>
    </row>
    <row r="7" spans="1:5" ht="23.25">
      <c r="A7" s="12" t="s">
        <v>64</v>
      </c>
      <c r="B7" s="15">
        <v>41158.85</v>
      </c>
      <c r="C7" s="16">
        <f>4.5+54.15+1187.2+916.25+662.7+564.7+427.9+1108.55+95.05+245.5+18.2</f>
        <v>5284.7</v>
      </c>
      <c r="D7" s="15"/>
      <c r="E7" s="15">
        <f aca="true" t="shared" si="0" ref="E7:E25">+B7+C7-D7</f>
        <v>46443.549999999996</v>
      </c>
    </row>
    <row r="8" spans="1:5" ht="23.25">
      <c r="A8" s="12" t="s">
        <v>97</v>
      </c>
      <c r="B8" s="15">
        <v>0</v>
      </c>
      <c r="C8" s="16">
        <f>1599500+707900+317420+100000+54450</f>
        <v>2779270</v>
      </c>
      <c r="D8" s="15">
        <f>249500+1350000+342550+391000+63200+100000+99450+183570</f>
        <v>2779270</v>
      </c>
      <c r="E8" s="15">
        <f t="shared" si="0"/>
        <v>0</v>
      </c>
    </row>
    <row r="9" spans="1:5" ht="23.25">
      <c r="A9" s="12" t="s">
        <v>63</v>
      </c>
      <c r="B9" s="15">
        <v>1729024</v>
      </c>
      <c r="C9" s="121">
        <f>76945+158985+143307+539481+177734+157042+26014+63803+108233+13006+4967+37378</f>
        <v>1506895</v>
      </c>
      <c r="D9" s="15">
        <f>163557+22665+66170+4650+149823+118804+4725+118548+950880+125087+29953+25273</f>
        <v>1780135</v>
      </c>
      <c r="E9" s="15">
        <f t="shared" si="0"/>
        <v>1455784</v>
      </c>
    </row>
    <row r="10" spans="1:5" ht="23.25">
      <c r="A10" s="12" t="s">
        <v>98</v>
      </c>
      <c r="B10" s="15">
        <v>10350</v>
      </c>
      <c r="C10" s="15"/>
      <c r="D10" s="15"/>
      <c r="E10" s="15">
        <f t="shared" si="0"/>
        <v>10350</v>
      </c>
    </row>
    <row r="11" spans="1:5" ht="23.25">
      <c r="A11" s="12" t="s">
        <v>227</v>
      </c>
      <c r="B11" s="15">
        <v>260000</v>
      </c>
      <c r="C11" s="15">
        <f>50000+100000+100000+100000</f>
        <v>350000</v>
      </c>
      <c r="D11" s="15">
        <f>150000+100000</f>
        <v>250000</v>
      </c>
      <c r="E11" s="15">
        <f t="shared" si="0"/>
        <v>360000</v>
      </c>
    </row>
    <row r="12" spans="1:5" ht="23.25">
      <c r="A12" s="12" t="s">
        <v>9</v>
      </c>
      <c r="B12" s="15">
        <v>0</v>
      </c>
      <c r="C12" s="15">
        <f>5260+2242+5046</f>
        <v>12548</v>
      </c>
      <c r="D12" s="15">
        <f>69+4217+1459+865</f>
        <v>6610</v>
      </c>
      <c r="E12" s="15">
        <f t="shared" si="0"/>
        <v>5938</v>
      </c>
    </row>
    <row r="13" spans="1:5" ht="23.25">
      <c r="A13" s="12" t="s">
        <v>65</v>
      </c>
      <c r="B13" s="15">
        <v>319149.16</v>
      </c>
      <c r="C13" s="15">
        <f>238.68+337.88+2340</f>
        <v>2916.56</v>
      </c>
      <c r="D13" s="15">
        <v>195125</v>
      </c>
      <c r="E13" s="15">
        <f t="shared" si="0"/>
        <v>126940.71999999997</v>
      </c>
    </row>
    <row r="14" spans="1:5" ht="23.25">
      <c r="A14" s="12" t="s">
        <v>123</v>
      </c>
      <c r="B14" s="15">
        <v>0</v>
      </c>
      <c r="C14" s="16">
        <f>6000+305749.75</f>
        <v>311749.75</v>
      </c>
      <c r="D14" s="16">
        <f>6000+305749.75</f>
        <v>311749.75</v>
      </c>
      <c r="E14" s="15">
        <f t="shared" si="0"/>
        <v>0</v>
      </c>
    </row>
    <row r="15" spans="1:5" ht="23.25">
      <c r="A15" s="12" t="s">
        <v>163</v>
      </c>
      <c r="B15" s="15">
        <v>295</v>
      </c>
      <c r="C15" s="16">
        <v>105</v>
      </c>
      <c r="D15" s="16">
        <v>400</v>
      </c>
      <c r="E15" s="15">
        <f t="shared" si="0"/>
        <v>0</v>
      </c>
    </row>
    <row r="16" spans="1:5" ht="23.25">
      <c r="A16" s="12" t="s">
        <v>156</v>
      </c>
      <c r="B16" s="15">
        <v>2862</v>
      </c>
      <c r="C16" s="16">
        <f>9112+25658+17300+14590+10850+2940+4247+2380+1145+820</f>
        <v>89042</v>
      </c>
      <c r="D16" s="16">
        <f>485+9112+25658+19677+14590+9380+3980+2932+4125+1145+820</f>
        <v>91904</v>
      </c>
      <c r="E16" s="15">
        <f t="shared" si="0"/>
        <v>0</v>
      </c>
    </row>
    <row r="17" spans="1:5" ht="23.25">
      <c r="A17" s="12" t="s">
        <v>185</v>
      </c>
      <c r="B17" s="15">
        <v>957921.06</v>
      </c>
      <c r="C17" s="16">
        <f>3468.56+1651050+3340.13+4900+15445.94</f>
        <v>1678204.63</v>
      </c>
      <c r="D17" s="16">
        <f>7700+950+69396+9336+22870+1119315+530625+309940+66840+10000+42300+37658</f>
        <v>2226930</v>
      </c>
      <c r="E17" s="15">
        <f>+B17+C17-D17</f>
        <v>409195.68999999994</v>
      </c>
    </row>
    <row r="18" spans="1:5" ht="23.25">
      <c r="A18" s="12" t="s">
        <v>316</v>
      </c>
      <c r="B18" s="15">
        <v>0</v>
      </c>
      <c r="C18" s="16">
        <v>20000</v>
      </c>
      <c r="D18" s="16">
        <v>20000</v>
      </c>
      <c r="E18" s="15">
        <f>+B18+C18-D18</f>
        <v>0</v>
      </c>
    </row>
    <row r="19" spans="1:5" ht="23.25">
      <c r="A19" s="24" t="s">
        <v>343</v>
      </c>
      <c r="B19" s="15">
        <v>0</v>
      </c>
      <c r="C19" s="16">
        <v>46460</v>
      </c>
      <c r="D19" s="16">
        <v>46460</v>
      </c>
      <c r="E19" s="15">
        <f>+B19+C19-D19</f>
        <v>0</v>
      </c>
    </row>
    <row r="20" spans="1:5" ht="23.25">
      <c r="A20" s="24" t="s">
        <v>363</v>
      </c>
      <c r="B20" s="15">
        <v>0</v>
      </c>
      <c r="C20" s="16">
        <v>18300</v>
      </c>
      <c r="D20" s="16">
        <v>18300</v>
      </c>
      <c r="E20" s="15">
        <f>+B20+C20-D20</f>
        <v>0</v>
      </c>
    </row>
    <row r="21" spans="1:5" ht="23.25">
      <c r="A21" s="24" t="s">
        <v>364</v>
      </c>
      <c r="B21" s="15">
        <v>0</v>
      </c>
      <c r="C21" s="16">
        <v>24000</v>
      </c>
      <c r="D21" s="16">
        <v>24000</v>
      </c>
      <c r="E21" s="15">
        <f>+B21+C21-D21</f>
        <v>0</v>
      </c>
    </row>
    <row r="22" spans="1:5" ht="23.25">
      <c r="A22" s="12" t="s">
        <v>157</v>
      </c>
      <c r="B22" s="15">
        <v>0</v>
      </c>
      <c r="C22" s="16">
        <f>144618+176834+161417+165033+165187+164669+161298+159009+157882+157921+160134</f>
        <v>1774002</v>
      </c>
      <c r="D22" s="16">
        <f>144618+176834+161417+165033+165187+164669+161298+159009+157882+157921+160134</f>
        <v>1774002</v>
      </c>
      <c r="E22" s="15">
        <f t="shared" si="0"/>
        <v>0</v>
      </c>
    </row>
    <row r="23" spans="1:5" ht="23.25">
      <c r="A23" s="12" t="s">
        <v>72</v>
      </c>
      <c r="B23" s="15">
        <v>0</v>
      </c>
      <c r="C23" s="16">
        <f>63400+63400+61800+61800+61800+61800+61800+64300+64300+68000+68000</f>
        <v>700400</v>
      </c>
      <c r="D23" s="16">
        <f>63400+63400+61800+61800+61800+61800+61800+64300+64300+68000+68000</f>
        <v>700400</v>
      </c>
      <c r="E23" s="15">
        <f t="shared" si="0"/>
        <v>0</v>
      </c>
    </row>
    <row r="24" spans="1:5" ht="23.25">
      <c r="A24" s="17" t="s">
        <v>70</v>
      </c>
      <c r="B24" s="15">
        <v>0</v>
      </c>
      <c r="C24" s="16">
        <f>261300+278300+267300+267300+267300+267300+262300+262300+272200+272200+272200</f>
        <v>2950000</v>
      </c>
      <c r="D24" s="16">
        <f>261300+278300+267300+267300+267300+267300+262300+262300+272200+272200+272200</f>
        <v>2950000</v>
      </c>
      <c r="E24" s="15">
        <f t="shared" si="0"/>
        <v>0</v>
      </c>
    </row>
    <row r="25" spans="1:5" ht="23.25">
      <c r="A25" s="17" t="s">
        <v>71</v>
      </c>
      <c r="B25" s="15">
        <v>0</v>
      </c>
      <c r="C25" s="16">
        <f>268629+267419+265002+271221+262251.55+260358.9+241332+244139.99+252459+252459+252459</f>
        <v>2837730.44</v>
      </c>
      <c r="D25" s="16">
        <f>268629+267419+265002+271221+262251.55+260358.9+241332+244139.99+252459+252459+252459</f>
        <v>2837730.44</v>
      </c>
      <c r="E25" s="15">
        <f t="shared" si="0"/>
        <v>0</v>
      </c>
    </row>
    <row r="26" spans="1:5" ht="23.25">
      <c r="A26" s="12"/>
      <c r="B26" s="21"/>
      <c r="C26" s="21"/>
      <c r="D26" s="21"/>
      <c r="E26" s="21"/>
    </row>
    <row r="27" spans="1:5" ht="24" thickBot="1">
      <c r="A27" s="22"/>
      <c r="B27" s="23">
        <f>SUM(B6:B26)</f>
        <v>3425471.61</v>
      </c>
      <c r="C27" s="23">
        <f>SUM(C6:C26)</f>
        <v>16041905.45</v>
      </c>
      <c r="D27" s="23">
        <f>SUM(D6:D26)</f>
        <v>17006999.580000002</v>
      </c>
      <c r="E27" s="23">
        <f>SUM(E6:E26)</f>
        <v>2460377.48</v>
      </c>
    </row>
    <row r="28" spans="1:5" ht="21" customHeight="1" thickTop="1">
      <c r="A28" s="12"/>
      <c r="B28" s="12"/>
      <c r="C28" s="12"/>
      <c r="D28" s="12"/>
      <c r="E28" s="12"/>
    </row>
    <row r="29" spans="1:5" ht="23.25">
      <c r="A29" s="10" t="s">
        <v>66</v>
      </c>
      <c r="B29" s="10"/>
      <c r="C29" s="12"/>
      <c r="D29" s="12"/>
      <c r="E29" s="19"/>
    </row>
    <row r="30" spans="1:5" ht="24" customHeight="1">
      <c r="A30" s="88" t="s">
        <v>99</v>
      </c>
      <c r="B30" s="18"/>
      <c r="C30" s="12"/>
      <c r="D30" s="12"/>
      <c r="E30" s="134" t="s">
        <v>67</v>
      </c>
    </row>
    <row r="31" spans="1:5" ht="24" customHeight="1">
      <c r="A31" s="12" t="s">
        <v>228</v>
      </c>
      <c r="B31" s="18"/>
      <c r="C31" s="12"/>
      <c r="D31" s="12"/>
      <c r="E31" s="137">
        <f>220000+15000</f>
        <v>235000</v>
      </c>
    </row>
    <row r="32" spans="1:5" ht="23.25">
      <c r="A32" s="12" t="s">
        <v>229</v>
      </c>
      <c r="B32" s="12"/>
      <c r="C32" s="12"/>
      <c r="D32" s="12"/>
      <c r="E32" s="19">
        <f>20000+204500+327890.8</f>
        <v>552390.8</v>
      </c>
    </row>
    <row r="33" spans="1:5" ht="23.25">
      <c r="A33" s="12" t="s">
        <v>230</v>
      </c>
      <c r="B33" s="12"/>
      <c r="C33" s="12"/>
      <c r="D33" s="12"/>
      <c r="E33" s="19">
        <f>1695000+1335860+3780413.32+103835.88</f>
        <v>6915109.2</v>
      </c>
    </row>
    <row r="34" spans="1:5" ht="23.25">
      <c r="A34" s="12" t="s">
        <v>330</v>
      </c>
      <c r="B34" s="12"/>
      <c r="C34" s="12"/>
      <c r="D34" s="12"/>
      <c r="E34" s="19" t="s">
        <v>330</v>
      </c>
    </row>
    <row r="35" spans="1:5" ht="24" thickBot="1">
      <c r="A35" s="12"/>
      <c r="B35" s="12"/>
      <c r="C35" s="12"/>
      <c r="D35" s="10" t="s">
        <v>32</v>
      </c>
      <c r="E35" s="135">
        <f>SUM(E31:E33)</f>
        <v>7702500</v>
      </c>
    </row>
    <row r="36" spans="1:5" ht="21.75" customHeight="1" thickTop="1">
      <c r="A36" s="12"/>
      <c r="B36" s="12"/>
      <c r="C36" s="12"/>
      <c r="D36" s="12"/>
      <c r="E36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5"/>
  <sheetViews>
    <sheetView view="pageBreakPreview" zoomScaleSheetLayoutView="100" zoomScalePageLayoutView="0" workbookViewId="0" topLeftCell="D1">
      <selection activeCell="A2" sqref="A2:M2"/>
    </sheetView>
  </sheetViews>
  <sheetFormatPr defaultColWidth="9.140625" defaultRowHeight="21.75"/>
  <cols>
    <col min="1" max="1" width="12.00390625" style="24" customWidth="1"/>
    <col min="2" max="2" width="5.28125" style="24" customWidth="1"/>
    <col min="3" max="3" width="13.57421875" style="24" customWidth="1"/>
    <col min="4" max="4" width="5.57421875" style="24" customWidth="1"/>
    <col min="5" max="5" width="13.00390625" style="24" customWidth="1"/>
    <col min="6" max="6" width="5.28125" style="24" customWidth="1"/>
    <col min="7" max="7" width="13.7109375" style="24" customWidth="1"/>
    <col min="8" max="8" width="5.7109375" style="24" customWidth="1"/>
    <col min="9" max="9" width="50.140625" style="24" customWidth="1"/>
    <col min="10" max="10" width="8.421875" style="24" customWidth="1"/>
    <col min="11" max="11" width="13.7109375" style="24" customWidth="1"/>
    <col min="12" max="12" width="6.8515625" style="61" customWidth="1"/>
    <col min="13" max="13" width="6.00390625" style="24" customWidth="1"/>
    <col min="14" max="14" width="11.421875" style="24" customWidth="1"/>
    <col min="15" max="15" width="9.140625" style="24" customWidth="1"/>
    <col min="16" max="16" width="11.28125" style="24" customWidth="1"/>
    <col min="17" max="16384" width="9.140625" style="24" customWidth="1"/>
  </cols>
  <sheetData>
    <row r="1" spans="1:9" ht="21">
      <c r="A1" s="10" t="s">
        <v>30</v>
      </c>
      <c r="I1" s="10" t="s">
        <v>337</v>
      </c>
    </row>
    <row r="2" spans="1:13" ht="21">
      <c r="A2" s="230" t="s">
        <v>331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21.75" thickBot="1">
      <c r="A3" s="155" t="s">
        <v>336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22"/>
    </row>
    <row r="4" spans="1:13" ht="22.5" thickBot="1" thickTop="1">
      <c r="A4" s="243" t="s">
        <v>0</v>
      </c>
      <c r="B4" s="244"/>
      <c r="C4" s="244"/>
      <c r="D4" s="244"/>
      <c r="E4" s="244"/>
      <c r="F4" s="244"/>
      <c r="G4" s="244"/>
      <c r="H4" s="245"/>
      <c r="I4" s="144"/>
      <c r="J4" s="154"/>
      <c r="K4" s="239" t="s">
        <v>67</v>
      </c>
      <c r="L4" s="240"/>
      <c r="M4" s="147"/>
    </row>
    <row r="5" spans="1:13" ht="21">
      <c r="A5" s="148"/>
      <c r="B5" s="149"/>
      <c r="C5" s="237" t="s">
        <v>332</v>
      </c>
      <c r="D5" s="238"/>
      <c r="E5" s="148"/>
      <c r="F5" s="149"/>
      <c r="G5" s="148"/>
      <c r="H5" s="146"/>
      <c r="I5" s="150" t="s">
        <v>4</v>
      </c>
      <c r="J5" s="151" t="s">
        <v>5</v>
      </c>
      <c r="K5" s="239" t="s">
        <v>7</v>
      </c>
      <c r="L5" s="240"/>
      <c r="M5" s="147"/>
    </row>
    <row r="6" spans="1:13" ht="21">
      <c r="A6" s="239" t="s">
        <v>1</v>
      </c>
      <c r="B6" s="240"/>
      <c r="C6" s="239" t="s">
        <v>333</v>
      </c>
      <c r="D6" s="240"/>
      <c r="E6" s="239" t="s">
        <v>32</v>
      </c>
      <c r="F6" s="240"/>
      <c r="G6" s="239" t="s">
        <v>3</v>
      </c>
      <c r="H6" s="241"/>
      <c r="I6" s="144"/>
      <c r="J6" s="151" t="s">
        <v>6</v>
      </c>
      <c r="K6" s="239" t="s">
        <v>3</v>
      </c>
      <c r="L6" s="240"/>
      <c r="M6" s="147"/>
    </row>
    <row r="7" spans="1:13" ht="21.75" thickBot="1">
      <c r="A7" s="231" t="s">
        <v>335</v>
      </c>
      <c r="B7" s="232"/>
      <c r="C7" s="231" t="s">
        <v>334</v>
      </c>
      <c r="D7" s="232"/>
      <c r="E7" s="231" t="s">
        <v>335</v>
      </c>
      <c r="F7" s="232"/>
      <c r="G7" s="231" t="s">
        <v>335</v>
      </c>
      <c r="H7" s="233"/>
      <c r="I7" s="157"/>
      <c r="J7" s="156"/>
      <c r="K7" s="231" t="s">
        <v>2</v>
      </c>
      <c r="L7" s="232"/>
      <c r="M7" s="147"/>
    </row>
    <row r="8" spans="1:12" ht="21.75" thickTop="1">
      <c r="A8" s="144"/>
      <c r="B8" s="144"/>
      <c r="C8" s="144"/>
      <c r="D8" s="144"/>
      <c r="E8" s="144"/>
      <c r="F8" s="144"/>
      <c r="G8" s="144"/>
      <c r="H8" s="144"/>
      <c r="I8" s="25" t="s">
        <v>8</v>
      </c>
      <c r="J8" s="25"/>
      <c r="K8" s="27">
        <f>Sheet1!M2</f>
        <v>0</v>
      </c>
      <c r="L8" s="27">
        <f>Sheet1!N2</f>
        <v>0</v>
      </c>
    </row>
    <row r="9" spans="1:12" ht="21">
      <c r="A9" s="144"/>
      <c r="B9" s="144"/>
      <c r="C9" s="144"/>
      <c r="D9" s="144"/>
      <c r="E9" s="144"/>
      <c r="F9" s="144"/>
      <c r="G9" s="144"/>
      <c r="H9" s="144"/>
      <c r="I9" s="107" t="s">
        <v>114</v>
      </c>
      <c r="J9" s="28"/>
      <c r="K9" s="28"/>
      <c r="L9" s="28"/>
    </row>
    <row r="10" spans="1:12" ht="21">
      <c r="A10" s="144"/>
      <c r="B10" s="144"/>
      <c r="C10" s="144"/>
      <c r="D10" s="144"/>
      <c r="E10" s="144"/>
      <c r="F10" s="144"/>
      <c r="G10" s="144"/>
      <c r="H10" s="144"/>
      <c r="I10" s="28" t="s">
        <v>100</v>
      </c>
      <c r="J10" s="31" t="s">
        <v>33</v>
      </c>
      <c r="K10" s="29">
        <f>Sheet1!M3</f>
        <v>0</v>
      </c>
      <c r="L10" s="29">
        <f>Sheet1!N3</f>
        <v>0</v>
      </c>
    </row>
    <row r="11" spans="1:12" ht="21">
      <c r="A11" s="144"/>
      <c r="B11" s="144"/>
      <c r="C11" s="144"/>
      <c r="D11" s="144"/>
      <c r="E11" s="144"/>
      <c r="F11" s="144"/>
      <c r="G11" s="144"/>
      <c r="H11" s="144"/>
      <c r="I11" s="28" t="s">
        <v>101</v>
      </c>
      <c r="J11" s="31" t="s">
        <v>34</v>
      </c>
      <c r="K11" s="29">
        <f>Sheet1!M4</f>
        <v>0</v>
      </c>
      <c r="L11" s="29">
        <f>Sheet1!N4</f>
        <v>0</v>
      </c>
    </row>
    <row r="12" spans="1:12" ht="21">
      <c r="A12" s="144"/>
      <c r="B12" s="144"/>
      <c r="C12" s="144"/>
      <c r="D12" s="144"/>
      <c r="E12" s="144"/>
      <c r="F12" s="144"/>
      <c r="G12" s="144"/>
      <c r="H12" s="144"/>
      <c r="I12" s="28" t="s">
        <v>102</v>
      </c>
      <c r="J12" s="31" t="s">
        <v>35</v>
      </c>
      <c r="K12" s="29">
        <f>Sheet1!M5</f>
        <v>0</v>
      </c>
      <c r="L12" s="29">
        <f>Sheet1!N5</f>
        <v>0</v>
      </c>
    </row>
    <row r="13" spans="1:12" ht="21">
      <c r="A13" s="144"/>
      <c r="B13" s="144"/>
      <c r="C13" s="144"/>
      <c r="D13" s="144"/>
      <c r="E13" s="144"/>
      <c r="F13" s="144"/>
      <c r="G13" s="144"/>
      <c r="H13" s="144"/>
      <c r="I13" s="28" t="s">
        <v>103</v>
      </c>
      <c r="J13" s="31" t="s">
        <v>36</v>
      </c>
      <c r="K13" s="29">
        <f>Sheet1!M6</f>
        <v>0</v>
      </c>
      <c r="L13" s="29">
        <f>Sheet1!N6</f>
        <v>0</v>
      </c>
    </row>
    <row r="14" spans="1:12" ht="21">
      <c r="A14" s="144"/>
      <c r="B14" s="144"/>
      <c r="C14" s="144"/>
      <c r="D14" s="144"/>
      <c r="E14" s="144"/>
      <c r="F14" s="144"/>
      <c r="G14" s="144"/>
      <c r="H14" s="144"/>
      <c r="I14" s="28" t="s">
        <v>104</v>
      </c>
      <c r="J14" s="31" t="s">
        <v>37</v>
      </c>
      <c r="K14" s="29">
        <f>Sheet1!M7</f>
        <v>0</v>
      </c>
      <c r="L14" s="29">
        <f>Sheet1!N7</f>
        <v>0</v>
      </c>
    </row>
    <row r="15" spans="1:12" ht="21">
      <c r="A15" s="144"/>
      <c r="B15" s="144"/>
      <c r="C15" s="144"/>
      <c r="D15" s="144"/>
      <c r="E15" s="144"/>
      <c r="F15" s="144"/>
      <c r="G15" s="144"/>
      <c r="H15" s="144"/>
      <c r="I15" s="28" t="s">
        <v>112</v>
      </c>
      <c r="J15" s="31" t="s">
        <v>44</v>
      </c>
      <c r="K15" s="29">
        <f>Sheet1!M8</f>
        <v>0</v>
      </c>
      <c r="L15" s="29">
        <f>Sheet1!N8</f>
        <v>0</v>
      </c>
    </row>
    <row r="16" spans="1:12" ht="21">
      <c r="A16" s="144"/>
      <c r="B16" s="144"/>
      <c r="C16" s="144"/>
      <c r="D16" s="144"/>
      <c r="E16" s="144"/>
      <c r="F16" s="144"/>
      <c r="G16" s="144"/>
      <c r="H16" s="144"/>
      <c r="I16" s="28" t="s">
        <v>50</v>
      </c>
      <c r="J16" s="31" t="s">
        <v>235</v>
      </c>
      <c r="K16" s="29">
        <f>Sheet1!M9</f>
        <v>0</v>
      </c>
      <c r="L16" s="29">
        <f>Sheet1!N9</f>
        <v>0</v>
      </c>
    </row>
    <row r="17" spans="1:12" ht="21">
      <c r="A17" s="144"/>
      <c r="B17" s="144"/>
      <c r="C17" s="144"/>
      <c r="D17" s="144"/>
      <c r="E17" s="144"/>
      <c r="F17" s="144"/>
      <c r="G17" s="144"/>
      <c r="H17" s="144"/>
      <c r="I17" s="28" t="s">
        <v>105</v>
      </c>
      <c r="J17" s="31" t="s">
        <v>236</v>
      </c>
      <c r="K17" s="29">
        <f>Sheet1!M10</f>
        <v>0</v>
      </c>
      <c r="L17" s="29">
        <f>Sheet1!N10</f>
        <v>0</v>
      </c>
    </row>
    <row r="18" spans="1:12" ht="21">
      <c r="A18" s="144"/>
      <c r="B18" s="144"/>
      <c r="C18" s="144"/>
      <c r="D18" s="144"/>
      <c r="E18" s="144"/>
      <c r="F18" s="144"/>
      <c r="G18" s="144"/>
      <c r="H18" s="144"/>
      <c r="I18" s="28" t="s">
        <v>106</v>
      </c>
      <c r="J18" s="31" t="s">
        <v>237</v>
      </c>
      <c r="K18" s="29">
        <f>Sheet1!M11</f>
        <v>0</v>
      </c>
      <c r="L18" s="29">
        <f>Sheet1!N11</f>
        <v>0</v>
      </c>
    </row>
    <row r="19" spans="1:12" ht="21">
      <c r="A19" s="144"/>
      <c r="B19" s="144"/>
      <c r="C19" s="144"/>
      <c r="D19" s="144"/>
      <c r="E19" s="144"/>
      <c r="F19" s="144"/>
      <c r="G19" s="144"/>
      <c r="H19" s="144"/>
      <c r="I19" s="28" t="s">
        <v>107</v>
      </c>
      <c r="J19" s="31" t="s">
        <v>238</v>
      </c>
      <c r="K19" s="29">
        <f>Sheet1!M12</f>
        <v>0</v>
      </c>
      <c r="L19" s="29">
        <f>Sheet1!N12</f>
        <v>0</v>
      </c>
    </row>
    <row r="20" spans="1:12" ht="21">
      <c r="A20" s="144"/>
      <c r="B20" s="144"/>
      <c r="C20" s="144"/>
      <c r="D20" s="144"/>
      <c r="E20" s="144"/>
      <c r="F20" s="144"/>
      <c r="G20" s="144"/>
      <c r="H20" s="144"/>
      <c r="I20" s="28" t="s">
        <v>108</v>
      </c>
      <c r="J20" s="31" t="s">
        <v>239</v>
      </c>
      <c r="K20" s="29">
        <f>Sheet1!M13</f>
        <v>0</v>
      </c>
      <c r="L20" s="29">
        <f>Sheet1!N13</f>
        <v>0</v>
      </c>
    </row>
    <row r="21" spans="1:12" ht="21">
      <c r="A21" s="144"/>
      <c r="B21" s="144"/>
      <c r="C21" s="144"/>
      <c r="D21" s="144"/>
      <c r="E21" s="144"/>
      <c r="F21" s="144"/>
      <c r="G21" s="144"/>
      <c r="H21" s="144"/>
      <c r="I21" s="28" t="s">
        <v>240</v>
      </c>
      <c r="J21" s="31" t="s">
        <v>241</v>
      </c>
      <c r="K21" s="29">
        <f>Sheet1!M14</f>
        <v>0</v>
      </c>
      <c r="L21" s="29">
        <f>Sheet1!N14</f>
        <v>0</v>
      </c>
    </row>
    <row r="22" spans="1:12" ht="21">
      <c r="A22" s="144"/>
      <c r="B22" s="144"/>
      <c r="C22" s="144"/>
      <c r="D22" s="144"/>
      <c r="E22" s="144"/>
      <c r="F22" s="144"/>
      <c r="G22" s="144"/>
      <c r="H22" s="144"/>
      <c r="I22" s="28" t="s">
        <v>85</v>
      </c>
      <c r="J22" s="31" t="s">
        <v>86</v>
      </c>
      <c r="K22" s="29">
        <f>Sheet1!M15</f>
        <v>0</v>
      </c>
      <c r="L22" s="29">
        <f>Sheet1!N15</f>
        <v>0</v>
      </c>
    </row>
    <row r="23" spans="1:12" ht="21">
      <c r="A23" s="144"/>
      <c r="B23" s="144"/>
      <c r="C23" s="144"/>
      <c r="D23" s="144"/>
      <c r="E23" s="144"/>
      <c r="F23" s="144"/>
      <c r="G23" s="144"/>
      <c r="H23" s="144"/>
      <c r="I23" s="28" t="s">
        <v>11</v>
      </c>
      <c r="J23" s="31" t="s">
        <v>242</v>
      </c>
      <c r="K23" s="29">
        <f>Sheet1!M16</f>
        <v>0</v>
      </c>
      <c r="L23" s="29">
        <f>Sheet1!N16</f>
        <v>0</v>
      </c>
    </row>
    <row r="24" spans="1:12" ht="21">
      <c r="A24" s="144"/>
      <c r="B24" s="144"/>
      <c r="C24" s="144"/>
      <c r="D24" s="144"/>
      <c r="E24" s="144"/>
      <c r="F24" s="144"/>
      <c r="G24" s="144"/>
      <c r="H24" s="144"/>
      <c r="I24" s="33" t="s">
        <v>12</v>
      </c>
      <c r="J24" s="31" t="s">
        <v>109</v>
      </c>
      <c r="K24" s="29">
        <f>Sheet1!M17</f>
        <v>0</v>
      </c>
      <c r="L24" s="29">
        <f>Sheet1!N17</f>
        <v>0</v>
      </c>
    </row>
    <row r="25" spans="1:12" ht="21">
      <c r="A25" s="144"/>
      <c r="B25" s="144"/>
      <c r="C25" s="144"/>
      <c r="D25" s="144"/>
      <c r="E25" s="144"/>
      <c r="F25" s="144"/>
      <c r="G25" s="144"/>
      <c r="H25" s="144"/>
      <c r="I25" s="33" t="s">
        <v>159</v>
      </c>
      <c r="J25" s="31" t="s">
        <v>57</v>
      </c>
      <c r="K25" s="29">
        <f>Sheet1!M21</f>
        <v>0</v>
      </c>
      <c r="L25" s="29">
        <f>Sheet1!N21</f>
        <v>0</v>
      </c>
    </row>
    <row r="26" spans="1:12" ht="21">
      <c r="A26" s="144"/>
      <c r="B26" s="144"/>
      <c r="C26" s="144"/>
      <c r="D26" s="144"/>
      <c r="E26" s="144"/>
      <c r="F26" s="144"/>
      <c r="G26" s="144"/>
      <c r="H26" s="144"/>
      <c r="I26" s="130" t="s">
        <v>187</v>
      </c>
      <c r="J26" s="31"/>
      <c r="K26" s="29">
        <f>Sheet1!M22</f>
        <v>0</v>
      </c>
      <c r="L26" s="29">
        <f>Sheet1!N22</f>
        <v>0</v>
      </c>
    </row>
    <row r="27" spans="1:12" ht="21">
      <c r="A27" s="144"/>
      <c r="B27" s="144"/>
      <c r="C27" s="144"/>
      <c r="D27" s="144"/>
      <c r="E27" s="144"/>
      <c r="F27" s="144"/>
      <c r="G27" s="144"/>
      <c r="H27" s="144"/>
      <c r="I27" s="130" t="s">
        <v>169</v>
      </c>
      <c r="J27" s="31"/>
      <c r="K27" s="29">
        <f>Sheet1!M23</f>
        <v>0</v>
      </c>
      <c r="L27" s="29">
        <f>Sheet1!N23</f>
        <v>0</v>
      </c>
    </row>
    <row r="28" spans="1:12" ht="21">
      <c r="A28" s="144"/>
      <c r="B28" s="144"/>
      <c r="C28" s="144"/>
      <c r="D28" s="144"/>
      <c r="E28" s="144"/>
      <c r="F28" s="144"/>
      <c r="G28" s="144"/>
      <c r="H28" s="144"/>
      <c r="I28" s="130" t="s">
        <v>198</v>
      </c>
      <c r="J28" s="31"/>
      <c r="K28" s="29">
        <f>Sheet1!M24</f>
        <v>0</v>
      </c>
      <c r="L28" s="29">
        <f>Sheet1!N24</f>
        <v>0</v>
      </c>
    </row>
    <row r="29" spans="1:12" ht="21">
      <c r="A29" s="144"/>
      <c r="B29" s="144"/>
      <c r="C29" s="144"/>
      <c r="D29" s="144"/>
      <c r="E29" s="144"/>
      <c r="F29" s="144"/>
      <c r="G29" s="144"/>
      <c r="H29" s="144"/>
      <c r="I29" s="130" t="s">
        <v>170</v>
      </c>
      <c r="J29" s="31"/>
      <c r="K29" s="29">
        <f>Sheet1!M25</f>
        <v>0</v>
      </c>
      <c r="L29" s="29">
        <f>Sheet1!N25</f>
        <v>0</v>
      </c>
    </row>
    <row r="30" spans="1:12" ht="21">
      <c r="A30" s="144"/>
      <c r="B30" s="144"/>
      <c r="C30" s="144"/>
      <c r="D30" s="144"/>
      <c r="E30" s="144"/>
      <c r="F30" s="144"/>
      <c r="G30" s="144"/>
      <c r="H30" s="144"/>
      <c r="I30" s="129" t="s">
        <v>282</v>
      </c>
      <c r="J30" s="31" t="s">
        <v>218</v>
      </c>
      <c r="K30" s="29">
        <f>Sheet1!M26</f>
        <v>0</v>
      </c>
      <c r="L30" s="29">
        <f>Sheet1!N26</f>
        <v>0</v>
      </c>
    </row>
    <row r="31" spans="1:12" ht="21">
      <c r="A31" s="144"/>
      <c r="B31" s="144"/>
      <c r="C31" s="144"/>
      <c r="D31" s="144"/>
      <c r="E31" s="144"/>
      <c r="F31" s="144"/>
      <c r="G31" s="144"/>
      <c r="H31" s="144"/>
      <c r="I31" s="33" t="s">
        <v>283</v>
      </c>
      <c r="J31" s="31" t="s">
        <v>218</v>
      </c>
      <c r="K31" s="29">
        <f>Sheet1!M27</f>
        <v>0</v>
      </c>
      <c r="L31" s="29">
        <f>Sheet1!N27</f>
        <v>0</v>
      </c>
    </row>
    <row r="32" spans="1:12" ht="21">
      <c r="A32" s="144"/>
      <c r="B32" s="144"/>
      <c r="C32" s="144"/>
      <c r="D32" s="144"/>
      <c r="E32" s="144"/>
      <c r="F32" s="144"/>
      <c r="G32" s="144"/>
      <c r="H32" s="144"/>
      <c r="I32" s="103" t="s">
        <v>279</v>
      </c>
      <c r="J32" s="31" t="s">
        <v>218</v>
      </c>
      <c r="K32" s="29">
        <f>Sheet1!M28</f>
        <v>0</v>
      </c>
      <c r="L32" s="29">
        <f>Sheet1!N28</f>
        <v>0</v>
      </c>
    </row>
    <row r="33" spans="1:12" ht="21">
      <c r="A33" s="144"/>
      <c r="B33" s="144"/>
      <c r="C33" s="144"/>
      <c r="D33" s="144"/>
      <c r="E33" s="144"/>
      <c r="F33" s="144"/>
      <c r="G33" s="144"/>
      <c r="H33" s="144"/>
      <c r="I33" s="103" t="s">
        <v>280</v>
      </c>
      <c r="J33" s="31" t="s">
        <v>218</v>
      </c>
      <c r="K33" s="29">
        <f>Sheet1!M29</f>
        <v>0</v>
      </c>
      <c r="L33" s="29">
        <f>Sheet1!N29</f>
        <v>0</v>
      </c>
    </row>
    <row r="34" spans="1:12" ht="21">
      <c r="A34" s="144"/>
      <c r="B34" s="144"/>
      <c r="C34" s="144"/>
      <c r="D34" s="144"/>
      <c r="E34" s="144"/>
      <c r="F34" s="144"/>
      <c r="G34" s="144"/>
      <c r="H34" s="144"/>
      <c r="I34" s="103" t="s">
        <v>281</v>
      </c>
      <c r="J34" s="31" t="s">
        <v>218</v>
      </c>
      <c r="K34" s="29">
        <f>Sheet1!M30</f>
        <v>0</v>
      </c>
      <c r="L34" s="29">
        <f>Sheet1!N30</f>
        <v>0</v>
      </c>
    </row>
    <row r="35" spans="1:12" ht="21">
      <c r="A35" s="144"/>
      <c r="B35" s="144"/>
      <c r="C35" s="144"/>
      <c r="D35" s="144"/>
      <c r="E35" s="144"/>
      <c r="F35" s="144"/>
      <c r="G35" s="144"/>
      <c r="H35" s="144"/>
      <c r="I35" s="140" t="s">
        <v>287</v>
      </c>
      <c r="J35" s="31" t="s">
        <v>218</v>
      </c>
      <c r="K35" s="29">
        <f>Sheet1!M32</f>
        <v>0</v>
      </c>
      <c r="L35" s="29">
        <f>Sheet1!N32</f>
        <v>0</v>
      </c>
    </row>
    <row r="36" spans="1:12" ht="21">
      <c r="A36" s="144"/>
      <c r="B36" s="144"/>
      <c r="C36" s="144"/>
      <c r="D36" s="144"/>
      <c r="E36" s="144"/>
      <c r="F36" s="144"/>
      <c r="G36" s="144"/>
      <c r="H36" s="144"/>
      <c r="I36" s="103" t="s">
        <v>173</v>
      </c>
      <c r="J36" s="31" t="s">
        <v>218</v>
      </c>
      <c r="K36" s="29">
        <f>Sheet1!M33</f>
        <v>0</v>
      </c>
      <c r="L36" s="29">
        <f>Sheet1!N33</f>
        <v>0</v>
      </c>
    </row>
    <row r="37" spans="1:12" ht="21">
      <c r="A37" s="144"/>
      <c r="B37" s="144"/>
      <c r="C37" s="144"/>
      <c r="D37" s="144"/>
      <c r="E37" s="144"/>
      <c r="F37" s="144"/>
      <c r="G37" s="144"/>
      <c r="H37" s="144"/>
      <c r="I37" s="103" t="s">
        <v>305</v>
      </c>
      <c r="J37" s="31" t="s">
        <v>218</v>
      </c>
      <c r="K37" s="29">
        <f>Sheet1!M34</f>
        <v>0</v>
      </c>
      <c r="L37" s="29">
        <f>Sheet1!N34</f>
        <v>0</v>
      </c>
    </row>
    <row r="38" spans="1:12" ht="21">
      <c r="A38" s="144"/>
      <c r="B38" s="144"/>
      <c r="C38" s="144"/>
      <c r="D38" s="144"/>
      <c r="E38" s="144"/>
      <c r="F38" s="144"/>
      <c r="G38" s="144"/>
      <c r="H38" s="144"/>
      <c r="I38" s="103" t="s">
        <v>174</v>
      </c>
      <c r="J38" s="31" t="s">
        <v>218</v>
      </c>
      <c r="K38" s="29">
        <f>Sheet1!M35</f>
        <v>0</v>
      </c>
      <c r="L38" s="29">
        <f>Sheet1!N35</f>
        <v>0</v>
      </c>
    </row>
    <row r="39" spans="1:12" ht="21">
      <c r="A39" s="144"/>
      <c r="B39" s="144"/>
      <c r="C39" s="144"/>
      <c r="D39" s="144"/>
      <c r="E39" s="144"/>
      <c r="F39" s="144"/>
      <c r="G39" s="144"/>
      <c r="H39" s="144"/>
      <c r="I39" s="103" t="s">
        <v>175</v>
      </c>
      <c r="J39" s="31" t="s">
        <v>218</v>
      </c>
      <c r="K39" s="29">
        <f>Sheet1!M36</f>
        <v>0</v>
      </c>
      <c r="L39" s="29">
        <f>Sheet1!N36</f>
        <v>0</v>
      </c>
    </row>
    <row r="40" spans="1:12" ht="24.75" customHeight="1" thickBot="1">
      <c r="A40" s="242" t="s">
        <v>338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  <row r="41" spans="1:12" ht="19.5" thickBot="1">
      <c r="A41" s="234" t="s">
        <v>0</v>
      </c>
      <c r="B41" s="235"/>
      <c r="C41" s="235"/>
      <c r="D41" s="235"/>
      <c r="E41" s="235"/>
      <c r="F41" s="235"/>
      <c r="G41" s="235"/>
      <c r="H41" s="236"/>
      <c r="I41" s="158"/>
      <c r="J41" s="158"/>
      <c r="K41" s="234" t="s">
        <v>67</v>
      </c>
      <c r="L41" s="236"/>
    </row>
    <row r="42" spans="1:12" ht="18.75">
      <c r="A42" s="148"/>
      <c r="B42" s="149"/>
      <c r="C42" s="237" t="s">
        <v>332</v>
      </c>
      <c r="D42" s="238"/>
      <c r="E42" s="148"/>
      <c r="F42" s="149"/>
      <c r="G42" s="148"/>
      <c r="H42" s="146"/>
      <c r="I42" s="150" t="s">
        <v>4</v>
      </c>
      <c r="J42" s="151" t="s">
        <v>5</v>
      </c>
      <c r="K42" s="239" t="s">
        <v>7</v>
      </c>
      <c r="L42" s="240"/>
    </row>
    <row r="43" spans="1:12" ht="18.75">
      <c r="A43" s="239" t="s">
        <v>1</v>
      </c>
      <c r="B43" s="240"/>
      <c r="C43" s="239" t="s">
        <v>333</v>
      </c>
      <c r="D43" s="240"/>
      <c r="E43" s="239" t="s">
        <v>32</v>
      </c>
      <c r="F43" s="240"/>
      <c r="G43" s="239" t="s">
        <v>3</v>
      </c>
      <c r="H43" s="241"/>
      <c r="I43" s="144"/>
      <c r="J43" s="151" t="s">
        <v>6</v>
      </c>
      <c r="K43" s="239" t="s">
        <v>3</v>
      </c>
      <c r="L43" s="240"/>
    </row>
    <row r="44" spans="1:12" ht="19.5" thickBot="1">
      <c r="A44" s="239" t="s">
        <v>335</v>
      </c>
      <c r="B44" s="240"/>
      <c r="C44" s="239" t="s">
        <v>334</v>
      </c>
      <c r="D44" s="240"/>
      <c r="E44" s="239" t="s">
        <v>335</v>
      </c>
      <c r="F44" s="240"/>
      <c r="G44" s="239" t="s">
        <v>335</v>
      </c>
      <c r="H44" s="241"/>
      <c r="I44" s="157"/>
      <c r="J44" s="151"/>
      <c r="K44" s="239" t="s">
        <v>2</v>
      </c>
      <c r="L44" s="240"/>
    </row>
    <row r="45" spans="1:12" ht="21.75" thickTop="1">
      <c r="A45" s="143"/>
      <c r="B45" s="143"/>
      <c r="C45" s="143"/>
      <c r="D45" s="143"/>
      <c r="E45" s="143"/>
      <c r="F45" s="143"/>
      <c r="G45" s="143"/>
      <c r="H45" s="143"/>
      <c r="I45" s="159" t="s">
        <v>215</v>
      </c>
      <c r="J45" s="161" t="s">
        <v>218</v>
      </c>
      <c r="K45" s="29">
        <f>Sheet1!M42</f>
        <v>0</v>
      </c>
      <c r="L45" s="29">
        <f>Sheet1!N42</f>
        <v>0</v>
      </c>
    </row>
    <row r="46" spans="1:12" ht="21">
      <c r="A46" s="144"/>
      <c r="B46" s="144"/>
      <c r="C46" s="144"/>
      <c r="D46" s="144"/>
      <c r="E46" s="144"/>
      <c r="F46" s="144"/>
      <c r="G46" s="144"/>
      <c r="H46" s="144"/>
      <c r="I46" s="159" t="s">
        <v>176</v>
      </c>
      <c r="J46" s="162" t="s">
        <v>218</v>
      </c>
      <c r="K46" s="29">
        <f>Sheet1!M43</f>
        <v>0</v>
      </c>
      <c r="L46" s="29">
        <f>Sheet1!N43</f>
        <v>0</v>
      </c>
    </row>
    <row r="47" spans="1:12" ht="21">
      <c r="A47" s="144"/>
      <c r="B47" s="144"/>
      <c r="C47" s="144"/>
      <c r="D47" s="144"/>
      <c r="E47" s="144"/>
      <c r="F47" s="144"/>
      <c r="G47" s="144"/>
      <c r="H47" s="144"/>
      <c r="I47" s="159" t="s">
        <v>285</v>
      </c>
      <c r="J47" s="162" t="s">
        <v>218</v>
      </c>
      <c r="K47" s="29">
        <f>Sheet1!M44</f>
        <v>0</v>
      </c>
      <c r="L47" s="29">
        <f>Sheet1!N44</f>
        <v>0</v>
      </c>
    </row>
    <row r="48" spans="1:12" ht="21">
      <c r="A48" s="144"/>
      <c r="B48" s="144"/>
      <c r="C48" s="144"/>
      <c r="D48" s="144"/>
      <c r="E48" s="144"/>
      <c r="F48" s="144"/>
      <c r="G48" s="144"/>
      <c r="H48" s="144"/>
      <c r="I48" s="159" t="s">
        <v>177</v>
      </c>
      <c r="J48" s="162" t="s">
        <v>218</v>
      </c>
      <c r="K48" s="29">
        <f>Sheet1!M45</f>
        <v>0</v>
      </c>
      <c r="L48" s="29">
        <f>Sheet1!N45</f>
        <v>0</v>
      </c>
    </row>
    <row r="49" spans="1:12" ht="21">
      <c r="A49" s="144"/>
      <c r="B49" s="144"/>
      <c r="C49" s="144"/>
      <c r="D49" s="144"/>
      <c r="E49" s="144"/>
      <c r="F49" s="144"/>
      <c r="G49" s="144"/>
      <c r="H49" s="144"/>
      <c r="I49" s="103" t="s">
        <v>216</v>
      </c>
      <c r="J49" s="31" t="s">
        <v>218</v>
      </c>
      <c r="K49" s="29">
        <f>Sheet1!M42</f>
        <v>0</v>
      </c>
      <c r="L49" s="29">
        <f>Sheet1!N42</f>
        <v>0</v>
      </c>
    </row>
    <row r="50" spans="1:12" ht="21">
      <c r="A50" s="144"/>
      <c r="B50" s="144"/>
      <c r="C50" s="144"/>
      <c r="D50" s="144"/>
      <c r="E50" s="144"/>
      <c r="F50" s="144"/>
      <c r="G50" s="144"/>
      <c r="H50" s="144"/>
      <c r="I50" s="103" t="s">
        <v>178</v>
      </c>
      <c r="J50" s="31" t="s">
        <v>218</v>
      </c>
      <c r="K50" s="29">
        <f>Sheet1!M43</f>
        <v>0</v>
      </c>
      <c r="L50" s="29">
        <f>Sheet1!N43</f>
        <v>0</v>
      </c>
    </row>
    <row r="51" spans="1:12" ht="21">
      <c r="A51" s="144"/>
      <c r="B51" s="144"/>
      <c r="C51" s="144"/>
      <c r="D51" s="144"/>
      <c r="E51" s="144"/>
      <c r="F51" s="144"/>
      <c r="G51" s="144"/>
      <c r="H51" s="144"/>
      <c r="I51" s="103" t="s">
        <v>179</v>
      </c>
      <c r="J51" s="31" t="s">
        <v>218</v>
      </c>
      <c r="K51" s="29">
        <f>Sheet1!M44</f>
        <v>0</v>
      </c>
      <c r="L51" s="29">
        <f>Sheet1!N44</f>
        <v>0</v>
      </c>
    </row>
    <row r="52" spans="1:12" ht="21">
      <c r="A52" s="144"/>
      <c r="B52" s="144"/>
      <c r="C52" s="144"/>
      <c r="D52" s="144"/>
      <c r="E52" s="144"/>
      <c r="F52" s="144"/>
      <c r="G52" s="144"/>
      <c r="H52" s="144"/>
      <c r="I52" s="103" t="s">
        <v>217</v>
      </c>
      <c r="J52" s="31" t="s">
        <v>218</v>
      </c>
      <c r="K52" s="29">
        <f>Sheet1!M45</f>
        <v>0</v>
      </c>
      <c r="L52" s="29">
        <f>Sheet1!N45</f>
        <v>0</v>
      </c>
    </row>
    <row r="53" spans="1:12" ht="21">
      <c r="A53" s="144"/>
      <c r="B53" s="144"/>
      <c r="C53" s="144"/>
      <c r="D53" s="144"/>
      <c r="E53" s="144"/>
      <c r="F53" s="144"/>
      <c r="G53" s="144"/>
      <c r="H53" s="144"/>
      <c r="I53" s="103" t="s">
        <v>192</v>
      </c>
      <c r="J53" s="31" t="s">
        <v>218</v>
      </c>
      <c r="K53" s="29">
        <f>Sheet1!M46</f>
        <v>0</v>
      </c>
      <c r="L53" s="29">
        <f>Sheet1!N46</f>
        <v>0</v>
      </c>
    </row>
    <row r="54" spans="1:12" ht="21">
      <c r="A54" s="144"/>
      <c r="B54" s="144"/>
      <c r="C54" s="144"/>
      <c r="D54" s="144"/>
      <c r="E54" s="144"/>
      <c r="F54" s="144"/>
      <c r="G54" s="144"/>
      <c r="H54" s="144"/>
      <c r="I54" s="103" t="s">
        <v>197</v>
      </c>
      <c r="J54" s="31" t="s">
        <v>218</v>
      </c>
      <c r="K54" s="29">
        <f>Sheet1!M47</f>
        <v>0</v>
      </c>
      <c r="L54" s="29">
        <f>Sheet1!N47</f>
        <v>0</v>
      </c>
    </row>
    <row r="55" spans="1:12" ht="21">
      <c r="A55" s="144"/>
      <c r="B55" s="144"/>
      <c r="C55" s="144"/>
      <c r="D55" s="144"/>
      <c r="E55" s="144"/>
      <c r="F55" s="144"/>
      <c r="G55" s="144"/>
      <c r="H55" s="144"/>
      <c r="I55" s="103" t="s">
        <v>209</v>
      </c>
      <c r="J55" s="31" t="s">
        <v>218</v>
      </c>
      <c r="K55" s="29">
        <f>Sheet1!M48</f>
        <v>0</v>
      </c>
      <c r="L55" s="29">
        <f>Sheet1!N48</f>
        <v>0</v>
      </c>
    </row>
    <row r="56" spans="1:12" ht="21">
      <c r="A56" s="144"/>
      <c r="B56" s="144"/>
      <c r="C56" s="144"/>
      <c r="D56" s="144"/>
      <c r="E56" s="144"/>
      <c r="F56" s="144"/>
      <c r="G56" s="144"/>
      <c r="H56" s="144"/>
      <c r="I56" s="103" t="s">
        <v>313</v>
      </c>
      <c r="J56" s="31" t="s">
        <v>218</v>
      </c>
      <c r="K56" s="29">
        <f>Sheet1!M49</f>
        <v>0</v>
      </c>
      <c r="L56" s="29">
        <f>Sheet1!N49</f>
        <v>0</v>
      </c>
    </row>
    <row r="57" spans="1:12" ht="21">
      <c r="A57" s="144"/>
      <c r="B57" s="144"/>
      <c r="C57" s="144"/>
      <c r="D57" s="144"/>
      <c r="E57" s="144"/>
      <c r="F57" s="144"/>
      <c r="G57" s="144"/>
      <c r="H57" s="144"/>
      <c r="I57" s="103" t="s">
        <v>181</v>
      </c>
      <c r="J57" s="31" t="s">
        <v>218</v>
      </c>
      <c r="K57" s="29">
        <f>Sheet1!M50</f>
        <v>0</v>
      </c>
      <c r="L57" s="29">
        <f>Sheet1!N50</f>
        <v>0</v>
      </c>
    </row>
    <row r="58" spans="1:12" ht="21">
      <c r="A58" s="144"/>
      <c r="B58" s="144"/>
      <c r="C58" s="144"/>
      <c r="D58" s="144"/>
      <c r="E58" s="144"/>
      <c r="F58" s="144"/>
      <c r="G58" s="144"/>
      <c r="H58" s="144"/>
      <c r="I58" s="103" t="s">
        <v>182</v>
      </c>
      <c r="J58" s="31" t="s">
        <v>218</v>
      </c>
      <c r="K58" s="29">
        <f>Sheet1!M51</f>
        <v>0</v>
      </c>
      <c r="L58" s="29">
        <f>Sheet1!N51</f>
        <v>0</v>
      </c>
    </row>
    <row r="59" spans="1:12" ht="21">
      <c r="A59" s="144"/>
      <c r="B59" s="144"/>
      <c r="C59" s="144"/>
      <c r="D59" s="144"/>
      <c r="E59" s="144"/>
      <c r="F59" s="144"/>
      <c r="G59" s="144"/>
      <c r="H59" s="144"/>
      <c r="I59" s="103" t="s">
        <v>183</v>
      </c>
      <c r="J59" s="31" t="s">
        <v>218</v>
      </c>
      <c r="K59" s="29">
        <f>Sheet1!M52</f>
        <v>0</v>
      </c>
      <c r="L59" s="29">
        <f>Sheet1!N52</f>
        <v>0</v>
      </c>
    </row>
    <row r="60" spans="1:12" ht="21">
      <c r="A60" s="144"/>
      <c r="B60" s="144"/>
      <c r="C60" s="144"/>
      <c r="D60" s="144"/>
      <c r="E60" s="144"/>
      <c r="F60" s="144"/>
      <c r="G60" s="144"/>
      <c r="H60" s="144"/>
      <c r="I60" s="129" t="s">
        <v>286</v>
      </c>
      <c r="J60" s="163" t="s">
        <v>218</v>
      </c>
      <c r="K60" s="29">
        <f>Sheet1!M53</f>
        <v>0</v>
      </c>
      <c r="L60" s="29">
        <f>Sheet1!N53</f>
        <v>0</v>
      </c>
    </row>
    <row r="61" spans="1:12" ht="21">
      <c r="A61" s="144"/>
      <c r="B61" s="144"/>
      <c r="C61" s="144"/>
      <c r="D61" s="144"/>
      <c r="E61" s="144"/>
      <c r="F61" s="144"/>
      <c r="G61" s="144"/>
      <c r="H61" s="144"/>
      <c r="I61" s="129" t="s">
        <v>314</v>
      </c>
      <c r="J61" s="163" t="s">
        <v>218</v>
      </c>
      <c r="K61" s="29">
        <f>Sheet1!M54</f>
        <v>0</v>
      </c>
      <c r="L61" s="29">
        <f>Sheet1!N54</f>
        <v>0</v>
      </c>
    </row>
    <row r="62" spans="1:12" ht="21">
      <c r="A62" s="144"/>
      <c r="B62" s="144"/>
      <c r="C62" s="144"/>
      <c r="D62" s="144"/>
      <c r="E62" s="144"/>
      <c r="F62" s="144"/>
      <c r="G62" s="144"/>
      <c r="H62" s="144"/>
      <c r="I62" s="129" t="s">
        <v>320</v>
      </c>
      <c r="J62" s="163" t="s">
        <v>218</v>
      </c>
      <c r="K62" s="29">
        <f>Sheet1!M55</f>
        <v>0</v>
      </c>
      <c r="L62" s="29">
        <f>Sheet1!N55</f>
        <v>0</v>
      </c>
    </row>
    <row r="63" spans="1:12" ht="21">
      <c r="A63" s="144"/>
      <c r="B63" s="144"/>
      <c r="C63" s="144"/>
      <c r="D63" s="144"/>
      <c r="E63" s="144"/>
      <c r="F63" s="144"/>
      <c r="G63" s="144"/>
      <c r="H63" s="144"/>
      <c r="I63" s="129" t="s">
        <v>321</v>
      </c>
      <c r="J63" s="163" t="s">
        <v>218</v>
      </c>
      <c r="K63" s="29">
        <f>Sheet1!M56</f>
        <v>0</v>
      </c>
      <c r="L63" s="29">
        <f>Sheet1!N56</f>
        <v>0</v>
      </c>
    </row>
    <row r="64" spans="1:12" ht="21">
      <c r="A64" s="144"/>
      <c r="B64" s="144"/>
      <c r="C64" s="144"/>
      <c r="D64" s="144"/>
      <c r="E64" s="144"/>
      <c r="F64" s="144"/>
      <c r="G64" s="144"/>
      <c r="H64" s="144"/>
      <c r="I64" s="129" t="s">
        <v>130</v>
      </c>
      <c r="J64" s="163" t="s">
        <v>243</v>
      </c>
      <c r="K64" s="29">
        <f>Sheet1!M57</f>
        <v>0</v>
      </c>
      <c r="L64" s="29">
        <f>Sheet1!N57</f>
        <v>0</v>
      </c>
    </row>
    <row r="65" spans="1:12" ht="21">
      <c r="A65" s="144"/>
      <c r="B65" s="144"/>
      <c r="C65" s="144"/>
      <c r="D65" s="144"/>
      <c r="E65" s="144"/>
      <c r="F65" s="144"/>
      <c r="G65" s="144"/>
      <c r="H65" s="144"/>
      <c r="I65" s="129" t="s">
        <v>96</v>
      </c>
      <c r="J65" s="163" t="s">
        <v>244</v>
      </c>
      <c r="K65" s="29">
        <f>Sheet1!M58</f>
        <v>0</v>
      </c>
      <c r="L65" s="29">
        <f>Sheet1!N58</f>
        <v>0</v>
      </c>
    </row>
    <row r="66" spans="1:12" ht="21">
      <c r="A66" s="144"/>
      <c r="B66" s="144"/>
      <c r="C66" s="144"/>
      <c r="D66" s="144"/>
      <c r="E66" s="144"/>
      <c r="F66" s="144"/>
      <c r="G66" s="144"/>
      <c r="H66" s="144"/>
      <c r="I66" s="129" t="s">
        <v>21</v>
      </c>
      <c r="J66" s="163" t="s">
        <v>245</v>
      </c>
      <c r="K66" s="29">
        <f>Sheet1!M59</f>
        <v>0</v>
      </c>
      <c r="L66" s="29">
        <f>Sheet1!N59</f>
        <v>0</v>
      </c>
    </row>
    <row r="67" spans="1:12" ht="21">
      <c r="A67" s="144"/>
      <c r="B67" s="144"/>
      <c r="C67" s="144"/>
      <c r="D67" s="144"/>
      <c r="E67" s="144"/>
      <c r="F67" s="144"/>
      <c r="G67" s="144"/>
      <c r="H67" s="144"/>
      <c r="I67" s="129" t="s">
        <v>246</v>
      </c>
      <c r="J67" s="163" t="s">
        <v>247</v>
      </c>
      <c r="K67" s="29">
        <f>Sheet1!M60</f>
        <v>0</v>
      </c>
      <c r="L67" s="29">
        <f>Sheet1!N60</f>
        <v>0</v>
      </c>
    </row>
    <row r="68" spans="1:12" ht="21">
      <c r="A68" s="144"/>
      <c r="B68" s="144"/>
      <c r="C68" s="144"/>
      <c r="D68" s="144"/>
      <c r="E68" s="144"/>
      <c r="F68" s="144"/>
      <c r="G68" s="144"/>
      <c r="H68" s="144"/>
      <c r="I68" s="129" t="s">
        <v>14</v>
      </c>
      <c r="J68" s="164" t="s">
        <v>248</v>
      </c>
      <c r="K68" s="29">
        <f>Sheet1!M62</f>
        <v>0</v>
      </c>
      <c r="L68" s="29">
        <f>Sheet1!N62</f>
        <v>0</v>
      </c>
    </row>
    <row r="69" spans="1:12" ht="21">
      <c r="A69" s="144"/>
      <c r="B69" s="144"/>
      <c r="C69" s="144"/>
      <c r="D69" s="144"/>
      <c r="E69" s="144"/>
      <c r="F69" s="144"/>
      <c r="G69" s="144"/>
      <c r="H69" s="144"/>
      <c r="I69" s="129" t="s">
        <v>155</v>
      </c>
      <c r="J69" s="163" t="s">
        <v>249</v>
      </c>
      <c r="K69" s="29">
        <f>Sheet1!M63</f>
        <v>0</v>
      </c>
      <c r="L69" s="29">
        <f>Sheet1!N63</f>
        <v>0</v>
      </c>
    </row>
    <row r="70" spans="1:12" ht="21">
      <c r="A70" s="144"/>
      <c r="B70" s="144"/>
      <c r="C70" s="144"/>
      <c r="D70" s="144"/>
      <c r="E70" s="144"/>
      <c r="F70" s="144"/>
      <c r="G70" s="144"/>
      <c r="H70" s="144"/>
      <c r="I70" s="129" t="s">
        <v>234</v>
      </c>
      <c r="J70" s="163" t="s">
        <v>249</v>
      </c>
      <c r="K70" s="29">
        <f>Sheet1!M64</f>
        <v>0</v>
      </c>
      <c r="L70" s="29">
        <f>Sheet1!N64</f>
        <v>0</v>
      </c>
    </row>
    <row r="71" spans="1:12" ht="21">
      <c r="A71" s="144"/>
      <c r="B71" s="144"/>
      <c r="C71" s="144"/>
      <c r="D71" s="144"/>
      <c r="E71" s="144"/>
      <c r="F71" s="144"/>
      <c r="G71" s="144"/>
      <c r="H71" s="144"/>
      <c r="I71" s="129" t="s">
        <v>15</v>
      </c>
      <c r="J71" s="163" t="s">
        <v>38</v>
      </c>
      <c r="K71" s="29">
        <f>Sheet1!M65</f>
        <v>0</v>
      </c>
      <c r="L71" s="29">
        <f>Sheet1!N65</f>
        <v>0</v>
      </c>
    </row>
    <row r="72" spans="1:12" ht="21">
      <c r="A72" s="144"/>
      <c r="B72" s="144"/>
      <c r="C72" s="144"/>
      <c r="D72" s="144"/>
      <c r="E72" s="144"/>
      <c r="F72" s="144"/>
      <c r="G72" s="144"/>
      <c r="H72" s="144"/>
      <c r="I72" s="129" t="s">
        <v>16</v>
      </c>
      <c r="J72" s="163" t="s">
        <v>39</v>
      </c>
      <c r="K72" s="29">
        <f>Sheet1!M66</f>
        <v>0</v>
      </c>
      <c r="L72" s="29">
        <f>Sheet1!N66</f>
        <v>0</v>
      </c>
    </row>
    <row r="73" spans="1:12" ht="21.75" thickBot="1">
      <c r="A73" s="144"/>
      <c r="B73" s="144"/>
      <c r="C73" s="144"/>
      <c r="D73" s="144"/>
      <c r="E73" s="144"/>
      <c r="F73" s="144"/>
      <c r="G73" s="144"/>
      <c r="H73" s="144"/>
      <c r="I73" s="129" t="s">
        <v>18</v>
      </c>
      <c r="J73" s="165" t="s">
        <v>41</v>
      </c>
      <c r="K73" s="29">
        <f>Sheet1!M67</f>
        <v>0</v>
      </c>
      <c r="L73" s="29">
        <f>Sheet1!N67</f>
        <v>0</v>
      </c>
    </row>
    <row r="74" spans="1:12" ht="21.75" thickBot="1">
      <c r="A74" s="166"/>
      <c r="B74" s="166"/>
      <c r="C74" s="166"/>
      <c r="D74" s="166"/>
      <c r="E74" s="166"/>
      <c r="F74" s="166"/>
      <c r="G74" s="166"/>
      <c r="H74" s="166"/>
      <c r="I74" s="167" t="s">
        <v>26</v>
      </c>
      <c r="J74" s="168"/>
      <c r="K74" s="166"/>
      <c r="L74" s="169"/>
    </row>
    <row r="75" spans="1:12" ht="21.75" thickTop="1">
      <c r="A75" s="144"/>
      <c r="B75" s="144"/>
      <c r="C75" s="144"/>
      <c r="D75" s="144"/>
      <c r="E75" s="144"/>
      <c r="F75" s="144"/>
      <c r="G75" s="144"/>
      <c r="H75" s="144"/>
      <c r="I75" s="159"/>
      <c r="J75" s="162"/>
      <c r="K75" s="144"/>
      <c r="L75" s="152"/>
    </row>
    <row r="76" spans="1:12" ht="21">
      <c r="A76" s="144"/>
      <c r="B76" s="144"/>
      <c r="C76" s="144"/>
      <c r="D76" s="144"/>
      <c r="E76" s="144"/>
      <c r="F76" s="144"/>
      <c r="G76" s="144"/>
      <c r="H76" s="144"/>
      <c r="I76" s="159"/>
      <c r="J76" s="162"/>
      <c r="K76" s="144"/>
      <c r="L76" s="152"/>
    </row>
    <row r="77" spans="1:12" ht="21">
      <c r="A77" s="144"/>
      <c r="B77" s="144"/>
      <c r="C77" s="144"/>
      <c r="D77" s="144"/>
      <c r="E77" s="144"/>
      <c r="F77" s="144"/>
      <c r="G77" s="144"/>
      <c r="H77" s="144"/>
      <c r="I77" s="159"/>
      <c r="J77" s="162"/>
      <c r="K77" s="144"/>
      <c r="L77" s="152"/>
    </row>
    <row r="78" spans="1:12" ht="21">
      <c r="A78" s="144"/>
      <c r="B78" s="144"/>
      <c r="C78" s="144"/>
      <c r="D78" s="144"/>
      <c r="E78" s="144"/>
      <c r="F78" s="144"/>
      <c r="G78" s="144"/>
      <c r="H78" s="144"/>
      <c r="I78" s="159"/>
      <c r="J78" s="162"/>
      <c r="K78" s="144"/>
      <c r="L78" s="152"/>
    </row>
    <row r="79" spans="1:12" ht="19.5" thickBot="1">
      <c r="A79" s="145"/>
      <c r="B79" s="145"/>
      <c r="C79" s="145"/>
      <c r="D79" s="145"/>
      <c r="E79" s="145"/>
      <c r="F79" s="145"/>
      <c r="G79" s="145"/>
      <c r="H79" s="145"/>
      <c r="I79" s="160"/>
      <c r="J79" s="145"/>
      <c r="K79" s="145"/>
      <c r="L79" s="153"/>
    </row>
    <row r="82" spans="1:12" ht="19.5" thickBot="1">
      <c r="A82" s="242" t="s">
        <v>339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</row>
    <row r="83" spans="1:12" ht="19.5" thickBot="1">
      <c r="A83" s="234" t="s">
        <v>0</v>
      </c>
      <c r="B83" s="235"/>
      <c r="C83" s="235"/>
      <c r="D83" s="235"/>
      <c r="E83" s="235"/>
      <c r="F83" s="235"/>
      <c r="G83" s="235"/>
      <c r="H83" s="236"/>
      <c r="I83" s="158"/>
      <c r="J83" s="158"/>
      <c r="K83" s="234" t="s">
        <v>67</v>
      </c>
      <c r="L83" s="236"/>
    </row>
    <row r="84" spans="1:12" ht="18.75">
      <c r="A84" s="148"/>
      <c r="B84" s="149"/>
      <c r="C84" s="237" t="s">
        <v>332</v>
      </c>
      <c r="D84" s="238"/>
      <c r="E84" s="148"/>
      <c r="F84" s="149"/>
      <c r="G84" s="148"/>
      <c r="H84" s="146"/>
      <c r="I84" s="150" t="s">
        <v>4</v>
      </c>
      <c r="J84" s="151" t="s">
        <v>5</v>
      </c>
      <c r="K84" s="239" t="s">
        <v>7</v>
      </c>
      <c r="L84" s="240"/>
    </row>
    <row r="85" spans="1:12" ht="18.75">
      <c r="A85" s="239" t="s">
        <v>1</v>
      </c>
      <c r="B85" s="240"/>
      <c r="C85" s="239" t="s">
        <v>333</v>
      </c>
      <c r="D85" s="240"/>
      <c r="E85" s="239" t="s">
        <v>32</v>
      </c>
      <c r="F85" s="240"/>
      <c r="G85" s="239" t="s">
        <v>3</v>
      </c>
      <c r="H85" s="241"/>
      <c r="I85" s="144"/>
      <c r="J85" s="151" t="s">
        <v>6</v>
      </c>
      <c r="K85" s="239" t="s">
        <v>3</v>
      </c>
      <c r="L85" s="240"/>
    </row>
    <row r="86" spans="1:12" ht="19.5" thickBot="1">
      <c r="A86" s="231" t="s">
        <v>335</v>
      </c>
      <c r="B86" s="232"/>
      <c r="C86" s="231" t="s">
        <v>334</v>
      </c>
      <c r="D86" s="232"/>
      <c r="E86" s="231" t="s">
        <v>335</v>
      </c>
      <c r="F86" s="232"/>
      <c r="G86" s="231" t="s">
        <v>335</v>
      </c>
      <c r="H86" s="233"/>
      <c r="I86" s="157"/>
      <c r="J86" s="156"/>
      <c r="K86" s="231" t="s">
        <v>2</v>
      </c>
      <c r="L86" s="232"/>
    </row>
    <row r="87" spans="1:12" ht="21.75" thickTop="1">
      <c r="A87" s="143"/>
      <c r="B87" s="143"/>
      <c r="C87" s="143"/>
      <c r="D87" s="143"/>
      <c r="E87" s="143"/>
      <c r="F87" s="143"/>
      <c r="G87" s="143"/>
      <c r="H87" s="143"/>
      <c r="I87" s="108" t="s">
        <v>13</v>
      </c>
      <c r="J87" s="35"/>
      <c r="K87" s="170"/>
      <c r="L87" s="171"/>
    </row>
    <row r="88" spans="1:12" ht="21">
      <c r="A88" s="144"/>
      <c r="B88" s="144"/>
      <c r="C88" s="144"/>
      <c r="D88" s="144"/>
      <c r="E88" s="144"/>
      <c r="F88" s="144"/>
      <c r="G88" s="144"/>
      <c r="H88" s="144"/>
      <c r="I88" s="32" t="s">
        <v>14</v>
      </c>
      <c r="J88" s="60" t="s">
        <v>248</v>
      </c>
      <c r="K88" s="38">
        <f>Sheet1!M85</f>
        <v>0</v>
      </c>
      <c r="L88" s="38">
        <f>Sheet1!N85</f>
        <v>0</v>
      </c>
    </row>
    <row r="89" spans="1:12" ht="21">
      <c r="A89" s="144"/>
      <c r="B89" s="144"/>
      <c r="C89" s="144"/>
      <c r="D89" s="144"/>
      <c r="E89" s="144"/>
      <c r="F89" s="144"/>
      <c r="G89" s="144"/>
      <c r="H89" s="144"/>
      <c r="I89" s="32" t="s">
        <v>154</v>
      </c>
      <c r="J89" s="60" t="s">
        <v>251</v>
      </c>
      <c r="K89" s="38">
        <f>Sheet1!M86</f>
        <v>0</v>
      </c>
      <c r="L89" s="38">
        <f>Sheet1!N86</f>
        <v>0</v>
      </c>
    </row>
    <row r="90" spans="1:12" ht="21">
      <c r="A90" s="144"/>
      <c r="B90" s="144"/>
      <c r="C90" s="144"/>
      <c r="D90" s="144"/>
      <c r="E90" s="144"/>
      <c r="F90" s="144"/>
      <c r="G90" s="144"/>
      <c r="H90" s="144"/>
      <c r="I90" s="32" t="s">
        <v>232</v>
      </c>
      <c r="J90" s="60" t="s">
        <v>249</v>
      </c>
      <c r="K90" s="38">
        <f>Sheet1!M87</f>
        <v>0</v>
      </c>
      <c r="L90" s="38">
        <f>Sheet1!N87</f>
        <v>0</v>
      </c>
    </row>
    <row r="91" spans="1:12" ht="21">
      <c r="A91" s="144"/>
      <c r="B91" s="144"/>
      <c r="C91" s="144"/>
      <c r="D91" s="144"/>
      <c r="E91" s="144"/>
      <c r="F91" s="144"/>
      <c r="G91" s="144"/>
      <c r="H91" s="144"/>
      <c r="I91" s="32" t="s">
        <v>233</v>
      </c>
      <c r="J91" s="60" t="s">
        <v>249</v>
      </c>
      <c r="K91" s="38">
        <f>Sheet1!M88</f>
        <v>0</v>
      </c>
      <c r="L91" s="38">
        <f>Sheet1!N88</f>
        <v>0</v>
      </c>
    </row>
    <row r="92" spans="1:12" ht="21">
      <c r="A92" s="144"/>
      <c r="B92" s="144"/>
      <c r="C92" s="144"/>
      <c r="D92" s="144"/>
      <c r="E92" s="144"/>
      <c r="F92" s="144"/>
      <c r="G92" s="144"/>
      <c r="H92" s="144"/>
      <c r="I92" s="32" t="s">
        <v>234</v>
      </c>
      <c r="J92" s="60" t="s">
        <v>249</v>
      </c>
      <c r="K92" s="38">
        <f>Sheet1!M89</f>
        <v>0</v>
      </c>
      <c r="L92" s="38">
        <f>Sheet1!N89</f>
        <v>0</v>
      </c>
    </row>
    <row r="93" spans="1:12" ht="21">
      <c r="A93" s="144"/>
      <c r="B93" s="144"/>
      <c r="C93" s="144"/>
      <c r="D93" s="144"/>
      <c r="E93" s="144"/>
      <c r="F93" s="144"/>
      <c r="G93" s="144"/>
      <c r="H93" s="144"/>
      <c r="I93" s="32" t="s">
        <v>15</v>
      </c>
      <c r="J93" s="60" t="s">
        <v>38</v>
      </c>
      <c r="K93" s="38">
        <f>Sheet1!M90</f>
        <v>0</v>
      </c>
      <c r="L93" s="38">
        <f>Sheet1!N90</f>
        <v>0</v>
      </c>
    </row>
    <row r="94" spans="1:12" ht="21">
      <c r="A94" s="144"/>
      <c r="B94" s="144"/>
      <c r="C94" s="144"/>
      <c r="D94" s="144"/>
      <c r="E94" s="144"/>
      <c r="F94" s="144"/>
      <c r="G94" s="144"/>
      <c r="H94" s="144"/>
      <c r="I94" s="32" t="s">
        <v>16</v>
      </c>
      <c r="J94" s="39" t="s">
        <v>39</v>
      </c>
      <c r="K94" s="38">
        <f>Sheet1!M94</f>
        <v>0</v>
      </c>
      <c r="L94" s="38">
        <f>Sheet1!N94</f>
        <v>0</v>
      </c>
    </row>
    <row r="95" spans="1:12" ht="21">
      <c r="A95" s="144"/>
      <c r="B95" s="144"/>
      <c r="C95" s="144"/>
      <c r="D95" s="144"/>
      <c r="E95" s="144"/>
      <c r="F95" s="144"/>
      <c r="G95" s="144"/>
      <c r="H95" s="144"/>
      <c r="I95" s="32" t="s">
        <v>17</v>
      </c>
      <c r="J95" s="39" t="s">
        <v>40</v>
      </c>
      <c r="K95" s="38">
        <f>Sheet1!M95</f>
        <v>0</v>
      </c>
      <c r="L95" s="38">
        <f>Sheet1!N95</f>
        <v>0</v>
      </c>
    </row>
    <row r="96" spans="1:12" ht="21">
      <c r="A96" s="144"/>
      <c r="B96" s="144"/>
      <c r="C96" s="144"/>
      <c r="D96" s="144"/>
      <c r="E96" s="144"/>
      <c r="F96" s="144"/>
      <c r="G96" s="144"/>
      <c r="H96" s="144"/>
      <c r="I96" s="32" t="s">
        <v>18</v>
      </c>
      <c r="J96" s="39" t="s">
        <v>41</v>
      </c>
      <c r="K96" s="38">
        <f>Sheet1!M96</f>
        <v>0</v>
      </c>
      <c r="L96" s="38">
        <f>Sheet1!N96</f>
        <v>0</v>
      </c>
    </row>
    <row r="97" spans="1:12" ht="21">
      <c r="A97" s="144"/>
      <c r="B97" s="144"/>
      <c r="C97" s="144"/>
      <c r="D97" s="144"/>
      <c r="E97" s="144"/>
      <c r="F97" s="144"/>
      <c r="G97" s="144"/>
      <c r="H97" s="144"/>
      <c r="I97" s="32" t="s">
        <v>19</v>
      </c>
      <c r="J97" s="39" t="s">
        <v>42</v>
      </c>
      <c r="K97" s="38">
        <f>Sheet1!M97</f>
        <v>0</v>
      </c>
      <c r="L97" s="38">
        <f>Sheet1!N97</f>
        <v>0</v>
      </c>
    </row>
    <row r="98" spans="1:12" ht="21">
      <c r="A98" s="144"/>
      <c r="B98" s="144"/>
      <c r="C98" s="144"/>
      <c r="D98" s="144"/>
      <c r="E98" s="144"/>
      <c r="F98" s="144"/>
      <c r="G98" s="144"/>
      <c r="H98" s="144"/>
      <c r="I98" s="32" t="s">
        <v>20</v>
      </c>
      <c r="J98" s="39" t="s">
        <v>43</v>
      </c>
      <c r="K98" s="38">
        <f>Sheet1!M99</f>
        <v>0</v>
      </c>
      <c r="L98" s="38">
        <f>Sheet1!N99</f>
        <v>0</v>
      </c>
    </row>
    <row r="99" spans="1:12" ht="21">
      <c r="A99" s="144"/>
      <c r="B99" s="144"/>
      <c r="C99" s="144"/>
      <c r="D99" s="144"/>
      <c r="E99" s="144"/>
      <c r="F99" s="144"/>
      <c r="G99" s="144"/>
      <c r="H99" s="144"/>
      <c r="I99" s="32" t="s">
        <v>10</v>
      </c>
      <c r="J99" s="39" t="s">
        <v>77</v>
      </c>
      <c r="K99" s="38">
        <f>Sheet1!M100</f>
        <v>0</v>
      </c>
      <c r="L99" s="38">
        <f>Sheet1!N100</f>
        <v>0</v>
      </c>
    </row>
    <row r="100" spans="1:12" ht="21">
      <c r="A100" s="144"/>
      <c r="B100" s="144"/>
      <c r="C100" s="144"/>
      <c r="D100" s="144"/>
      <c r="E100" s="144"/>
      <c r="F100" s="144"/>
      <c r="G100" s="144"/>
      <c r="H100" s="144"/>
      <c r="I100" s="32" t="s">
        <v>193</v>
      </c>
      <c r="J100" s="39" t="s">
        <v>194</v>
      </c>
      <c r="K100" s="38">
        <f>Sheet1!M101</f>
        <v>0</v>
      </c>
      <c r="L100" s="38">
        <f>Sheet1!N101</f>
        <v>0</v>
      </c>
    </row>
    <row r="101" spans="1:12" ht="21">
      <c r="A101" s="144"/>
      <c r="B101" s="144"/>
      <c r="C101" s="144"/>
      <c r="D101" s="144"/>
      <c r="E101" s="144"/>
      <c r="F101" s="144"/>
      <c r="G101" s="144"/>
      <c r="H101" s="144"/>
      <c r="I101" s="32" t="s">
        <v>146</v>
      </c>
      <c r="J101" s="39" t="s">
        <v>252</v>
      </c>
      <c r="K101" s="38">
        <f>Sheet1!M102</f>
        <v>0</v>
      </c>
      <c r="L101" s="38">
        <f>Sheet1!N102</f>
        <v>0</v>
      </c>
    </row>
    <row r="102" spans="1:12" ht="21">
      <c r="A102" s="144"/>
      <c r="B102" s="144"/>
      <c r="C102" s="144"/>
      <c r="D102" s="144"/>
      <c r="E102" s="144"/>
      <c r="F102" s="144"/>
      <c r="G102" s="144"/>
      <c r="H102" s="144"/>
      <c r="I102" s="32" t="s">
        <v>137</v>
      </c>
      <c r="J102" s="39" t="s">
        <v>238</v>
      </c>
      <c r="K102" s="38">
        <f>Sheet1!M103</f>
        <v>0</v>
      </c>
      <c r="L102" s="38">
        <f>Sheet1!N103</f>
        <v>0</v>
      </c>
    </row>
    <row r="103" spans="1:12" ht="21">
      <c r="A103" s="144"/>
      <c r="B103" s="144"/>
      <c r="C103" s="144"/>
      <c r="D103" s="144"/>
      <c r="E103" s="144"/>
      <c r="F103" s="144"/>
      <c r="G103" s="144"/>
      <c r="H103" s="144"/>
      <c r="I103" s="32" t="s">
        <v>138</v>
      </c>
      <c r="J103" s="31" t="s">
        <v>239</v>
      </c>
      <c r="K103" s="38">
        <f>Sheet1!M100</f>
        <v>0</v>
      </c>
      <c r="L103" s="38">
        <f>Sheet1!N100</f>
        <v>0</v>
      </c>
    </row>
    <row r="104" spans="1:10" ht="21">
      <c r="A104" s="144"/>
      <c r="B104" s="144"/>
      <c r="C104" s="144"/>
      <c r="D104" s="144"/>
      <c r="E104" s="144"/>
      <c r="F104" s="144"/>
      <c r="G104" s="144"/>
      <c r="H104" s="144"/>
      <c r="I104" s="32" t="s">
        <v>139</v>
      </c>
      <c r="J104" s="31" t="s">
        <v>237</v>
      </c>
    </row>
    <row r="105" spans="1:10" ht="21">
      <c r="A105" s="144"/>
      <c r="B105" s="144"/>
      <c r="C105" s="144"/>
      <c r="D105" s="144"/>
      <c r="E105" s="144"/>
      <c r="F105" s="144"/>
      <c r="G105" s="144"/>
      <c r="H105" s="144"/>
      <c r="I105" s="32" t="s">
        <v>253</v>
      </c>
      <c r="J105" s="31" t="s">
        <v>241</v>
      </c>
    </row>
    <row r="106" spans="1:10" ht="21">
      <c r="A106" s="144"/>
      <c r="B106" s="144"/>
      <c r="C106" s="144"/>
      <c r="D106" s="144"/>
      <c r="E106" s="144"/>
      <c r="F106" s="144"/>
      <c r="G106" s="144"/>
      <c r="H106" s="144"/>
      <c r="I106" s="32" t="s">
        <v>140</v>
      </c>
      <c r="J106" s="31" t="s">
        <v>235</v>
      </c>
    </row>
    <row r="107" spans="1:10" ht="21">
      <c r="A107" s="144"/>
      <c r="B107" s="144"/>
      <c r="C107" s="144"/>
      <c r="D107" s="144"/>
      <c r="E107" s="144"/>
      <c r="F107" s="144"/>
      <c r="G107" s="144"/>
      <c r="H107" s="144"/>
      <c r="I107" s="32" t="s">
        <v>141</v>
      </c>
      <c r="J107" s="31" t="s">
        <v>236</v>
      </c>
    </row>
    <row r="108" spans="1:10" ht="21">
      <c r="A108" s="144"/>
      <c r="B108" s="144"/>
      <c r="C108" s="144"/>
      <c r="D108" s="144"/>
      <c r="E108" s="144"/>
      <c r="F108" s="144"/>
      <c r="G108" s="144"/>
      <c r="H108" s="144"/>
      <c r="I108" s="32" t="s">
        <v>134</v>
      </c>
      <c r="J108" s="31" t="s">
        <v>254</v>
      </c>
    </row>
    <row r="109" spans="1:10" ht="21">
      <c r="A109" s="144"/>
      <c r="B109" s="144"/>
      <c r="C109" s="144"/>
      <c r="D109" s="144"/>
      <c r="E109" s="144"/>
      <c r="F109" s="144"/>
      <c r="G109" s="144"/>
      <c r="H109" s="144"/>
      <c r="I109" s="32" t="s">
        <v>130</v>
      </c>
      <c r="J109" s="31" t="s">
        <v>243</v>
      </c>
    </row>
    <row r="110" spans="1:10" ht="21">
      <c r="A110" s="144"/>
      <c r="B110" s="144"/>
      <c r="C110" s="144"/>
      <c r="D110" s="144"/>
      <c r="E110" s="144"/>
      <c r="F110" s="144"/>
      <c r="G110" s="144"/>
      <c r="H110" s="144"/>
      <c r="I110" s="32" t="s">
        <v>96</v>
      </c>
      <c r="J110" s="39" t="s">
        <v>244</v>
      </c>
    </row>
    <row r="111" spans="1:10" ht="21">
      <c r="A111" s="144"/>
      <c r="B111" s="144"/>
      <c r="C111" s="144"/>
      <c r="D111" s="144"/>
      <c r="E111" s="144"/>
      <c r="F111" s="144"/>
      <c r="G111" s="144"/>
      <c r="H111" s="144"/>
      <c r="I111" s="32" t="s">
        <v>21</v>
      </c>
      <c r="J111" s="31" t="s">
        <v>245</v>
      </c>
    </row>
    <row r="112" spans="1:10" ht="21">
      <c r="A112" s="144"/>
      <c r="B112" s="144"/>
      <c r="C112" s="144"/>
      <c r="D112" s="144"/>
      <c r="E112" s="144"/>
      <c r="F112" s="144"/>
      <c r="G112" s="144"/>
      <c r="H112" s="144"/>
      <c r="I112" s="32" t="s">
        <v>246</v>
      </c>
      <c r="J112" s="39" t="s">
        <v>247</v>
      </c>
    </row>
    <row r="113" spans="1:10" ht="21">
      <c r="A113" s="144"/>
      <c r="B113" s="144"/>
      <c r="C113" s="144"/>
      <c r="D113" s="144"/>
      <c r="E113" s="144"/>
      <c r="F113" s="144"/>
      <c r="G113" s="144"/>
      <c r="H113" s="144"/>
      <c r="I113" s="32" t="s">
        <v>87</v>
      </c>
      <c r="J113" s="39" t="s">
        <v>255</v>
      </c>
    </row>
    <row r="114" spans="1:10" ht="21">
      <c r="A114" s="144"/>
      <c r="B114" s="144"/>
      <c r="C114" s="144"/>
      <c r="D114" s="144"/>
      <c r="E114" s="144"/>
      <c r="F114" s="144"/>
      <c r="G114" s="144"/>
      <c r="H114" s="144"/>
      <c r="I114" s="32" t="s">
        <v>11</v>
      </c>
      <c r="J114" s="39" t="s">
        <v>242</v>
      </c>
    </row>
    <row r="115" spans="1:10" ht="21">
      <c r="A115" s="144"/>
      <c r="B115" s="144"/>
      <c r="C115" s="144"/>
      <c r="D115" s="144"/>
      <c r="E115" s="144"/>
      <c r="F115" s="144"/>
      <c r="G115" s="144"/>
      <c r="H115" s="144"/>
      <c r="I115" s="32" t="s">
        <v>12</v>
      </c>
      <c r="J115" s="39" t="s">
        <v>109</v>
      </c>
    </row>
    <row r="116" spans="9:10" ht="21">
      <c r="I116" s="32" t="s">
        <v>256</v>
      </c>
      <c r="J116" s="39" t="s">
        <v>257</v>
      </c>
    </row>
    <row r="117" spans="9:10" ht="21">
      <c r="I117" s="32" t="s">
        <v>187</v>
      </c>
      <c r="J117" s="31" t="s">
        <v>218</v>
      </c>
    </row>
    <row r="118" spans="9:12" ht="21">
      <c r="I118" s="33" t="s">
        <v>169</v>
      </c>
      <c r="J118" s="31" t="s">
        <v>218</v>
      </c>
      <c r="L118" s="61" t="s">
        <v>341</v>
      </c>
    </row>
    <row r="119" spans="9:10" ht="21">
      <c r="I119" s="33" t="s">
        <v>198</v>
      </c>
      <c r="J119" s="31" t="s">
        <v>218</v>
      </c>
    </row>
    <row r="120" spans="9:10" ht="21">
      <c r="I120" s="33" t="s">
        <v>170</v>
      </c>
      <c r="J120" s="31" t="s">
        <v>218</v>
      </c>
    </row>
    <row r="121" spans="9:10" ht="21">
      <c r="I121" s="129" t="s">
        <v>282</v>
      </c>
      <c r="J121" s="31" t="s">
        <v>218</v>
      </c>
    </row>
    <row r="122" spans="9:10" ht="21">
      <c r="I122" s="33" t="s">
        <v>283</v>
      </c>
      <c r="J122" s="31" t="s">
        <v>218</v>
      </c>
    </row>
    <row r="123" spans="1:12" ht="19.5" thickBot="1">
      <c r="A123" s="242" t="s">
        <v>340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</row>
    <row r="124" spans="1:12" ht="19.5" thickBot="1">
      <c r="A124" s="234" t="s">
        <v>0</v>
      </c>
      <c r="B124" s="235"/>
      <c r="C124" s="235"/>
      <c r="D124" s="235"/>
      <c r="E124" s="235"/>
      <c r="F124" s="235"/>
      <c r="G124" s="235"/>
      <c r="H124" s="236"/>
      <c r="I124" s="158"/>
      <c r="J124" s="158"/>
      <c r="K124" s="234" t="s">
        <v>67</v>
      </c>
      <c r="L124" s="236"/>
    </row>
    <row r="125" spans="1:12" ht="18.75">
      <c r="A125" s="148"/>
      <c r="B125" s="149"/>
      <c r="C125" s="237" t="s">
        <v>332</v>
      </c>
      <c r="D125" s="238"/>
      <c r="E125" s="148"/>
      <c r="F125" s="149"/>
      <c r="G125" s="148"/>
      <c r="H125" s="146"/>
      <c r="I125" s="150" t="s">
        <v>4</v>
      </c>
      <c r="J125" s="151" t="s">
        <v>5</v>
      </c>
      <c r="K125" s="239" t="s">
        <v>7</v>
      </c>
      <c r="L125" s="240"/>
    </row>
    <row r="126" spans="1:12" ht="18.75">
      <c r="A126" s="239" t="s">
        <v>1</v>
      </c>
      <c r="B126" s="240"/>
      <c r="C126" s="239" t="s">
        <v>333</v>
      </c>
      <c r="D126" s="240"/>
      <c r="E126" s="239" t="s">
        <v>32</v>
      </c>
      <c r="F126" s="240"/>
      <c r="G126" s="239" t="s">
        <v>3</v>
      </c>
      <c r="H126" s="241"/>
      <c r="I126" s="144"/>
      <c r="J126" s="151" t="s">
        <v>6</v>
      </c>
      <c r="K126" s="239" t="s">
        <v>3</v>
      </c>
      <c r="L126" s="240"/>
    </row>
    <row r="127" spans="1:12" ht="19.5" thickBot="1">
      <c r="A127" s="231" t="s">
        <v>335</v>
      </c>
      <c r="B127" s="232"/>
      <c r="C127" s="231" t="s">
        <v>334</v>
      </c>
      <c r="D127" s="232"/>
      <c r="E127" s="231" t="s">
        <v>335</v>
      </c>
      <c r="F127" s="232"/>
      <c r="G127" s="231" t="s">
        <v>335</v>
      </c>
      <c r="H127" s="233"/>
      <c r="I127" s="157"/>
      <c r="J127" s="156"/>
      <c r="K127" s="231" t="s">
        <v>2</v>
      </c>
      <c r="L127" s="232"/>
    </row>
    <row r="128" spans="9:10" ht="21.75" thickTop="1">
      <c r="I128" s="103" t="s">
        <v>171</v>
      </c>
      <c r="J128" s="31" t="s">
        <v>218</v>
      </c>
    </row>
    <row r="129" spans="9:10" ht="21">
      <c r="I129" s="103" t="s">
        <v>172</v>
      </c>
      <c r="J129" s="31" t="s">
        <v>218</v>
      </c>
    </row>
    <row r="130" spans="9:10" ht="21">
      <c r="I130" s="103" t="s">
        <v>173</v>
      </c>
      <c r="J130" s="31" t="s">
        <v>218</v>
      </c>
    </row>
    <row r="131" spans="9:10" ht="21">
      <c r="I131" s="140" t="s">
        <v>287</v>
      </c>
      <c r="J131" s="31" t="s">
        <v>218</v>
      </c>
    </row>
    <row r="132" spans="9:10" ht="21">
      <c r="I132" s="103" t="s">
        <v>306</v>
      </c>
      <c r="J132" s="31" t="s">
        <v>218</v>
      </c>
    </row>
    <row r="133" spans="9:10" ht="21">
      <c r="I133" s="103" t="s">
        <v>172</v>
      </c>
      <c r="J133" s="31" t="s">
        <v>218</v>
      </c>
    </row>
    <row r="134" spans="9:10" ht="21">
      <c r="I134" s="103" t="s">
        <v>174</v>
      </c>
      <c r="J134" s="31" t="s">
        <v>218</v>
      </c>
    </row>
    <row r="135" spans="9:10" ht="21">
      <c r="I135" s="103" t="s">
        <v>175</v>
      </c>
      <c r="J135" s="31" t="s">
        <v>218</v>
      </c>
    </row>
    <row r="136" spans="9:10" ht="21">
      <c r="I136" s="103" t="s">
        <v>215</v>
      </c>
      <c r="J136" s="31" t="s">
        <v>218</v>
      </c>
    </row>
    <row r="137" spans="9:10" ht="21">
      <c r="I137" s="103" t="s">
        <v>176</v>
      </c>
      <c r="J137" s="31" t="s">
        <v>218</v>
      </c>
    </row>
    <row r="138" spans="9:10" ht="21">
      <c r="I138" s="103" t="s">
        <v>216</v>
      </c>
      <c r="J138" s="31" t="s">
        <v>218</v>
      </c>
    </row>
    <row r="139" spans="9:10" ht="21">
      <c r="I139" s="103" t="s">
        <v>177</v>
      </c>
      <c r="J139" s="31" t="s">
        <v>218</v>
      </c>
    </row>
    <row r="140" spans="9:10" ht="21">
      <c r="I140" s="103" t="s">
        <v>178</v>
      </c>
      <c r="J140" s="31" t="s">
        <v>218</v>
      </c>
    </row>
    <row r="141" spans="9:10" ht="21">
      <c r="I141" s="103" t="s">
        <v>222</v>
      </c>
      <c r="J141" s="31" t="s">
        <v>218</v>
      </c>
    </row>
    <row r="142" spans="9:10" ht="21">
      <c r="I142" s="103" t="s">
        <v>179</v>
      </c>
      <c r="J142" s="31" t="s">
        <v>218</v>
      </c>
    </row>
    <row r="143" spans="9:10" ht="21">
      <c r="I143" s="103" t="s">
        <v>180</v>
      </c>
      <c r="J143" s="31" t="s">
        <v>218</v>
      </c>
    </row>
    <row r="144" spans="9:10" ht="21">
      <c r="I144" s="103" t="s">
        <v>307</v>
      </c>
      <c r="J144" s="31" t="s">
        <v>218</v>
      </c>
    </row>
    <row r="145" spans="9:10" ht="21">
      <c r="I145" s="103" t="s">
        <v>327</v>
      </c>
      <c r="J145" s="31" t="s">
        <v>218</v>
      </c>
    </row>
    <row r="146" spans="9:10" ht="21">
      <c r="I146" s="103" t="s">
        <v>328</v>
      </c>
      <c r="J146" s="31" t="s">
        <v>218</v>
      </c>
    </row>
    <row r="147" spans="9:10" ht="21">
      <c r="I147" s="103" t="s">
        <v>286</v>
      </c>
      <c r="J147" s="31" t="s">
        <v>218</v>
      </c>
    </row>
    <row r="148" spans="9:10" ht="21">
      <c r="I148" s="103" t="s">
        <v>184</v>
      </c>
      <c r="J148" s="31" t="s">
        <v>218</v>
      </c>
    </row>
    <row r="149" spans="9:10" ht="21">
      <c r="I149" s="103" t="s">
        <v>209</v>
      </c>
      <c r="J149" s="31" t="s">
        <v>218</v>
      </c>
    </row>
    <row r="151" ht="21">
      <c r="I151" s="41" t="s">
        <v>23</v>
      </c>
    </row>
    <row r="152" ht="21">
      <c r="I152" s="41" t="s">
        <v>24</v>
      </c>
    </row>
    <row r="153" ht="21">
      <c r="I153" s="41" t="s">
        <v>27</v>
      </c>
    </row>
    <row r="154" ht="21">
      <c r="I154" s="41" t="s">
        <v>28</v>
      </c>
    </row>
    <row r="155" ht="21">
      <c r="I155" s="41" t="s">
        <v>25</v>
      </c>
    </row>
  </sheetData>
  <sheetProtection/>
  <mergeCells count="60">
    <mergeCell ref="A82:L82"/>
    <mergeCell ref="A83:H83"/>
    <mergeCell ref="K83:L83"/>
    <mergeCell ref="C84:D84"/>
    <mergeCell ref="K84:L84"/>
    <mergeCell ref="A85:B85"/>
    <mergeCell ref="C85:D85"/>
    <mergeCell ref="E85:F85"/>
    <mergeCell ref="G85:H85"/>
    <mergeCell ref="K85:L85"/>
    <mergeCell ref="C43:D43"/>
    <mergeCell ref="K43:L43"/>
    <mergeCell ref="A44:B44"/>
    <mergeCell ref="C44:D44"/>
    <mergeCell ref="E44:F44"/>
    <mergeCell ref="G44:H44"/>
    <mergeCell ref="K44:L44"/>
    <mergeCell ref="A43:B43"/>
    <mergeCell ref="E43:F43"/>
    <mergeCell ref="G43:H43"/>
    <mergeCell ref="G6:H6"/>
    <mergeCell ref="G7:H7"/>
    <mergeCell ref="A2:M2"/>
    <mergeCell ref="A4:H4"/>
    <mergeCell ref="K4:L4"/>
    <mergeCell ref="K42:L42"/>
    <mergeCell ref="A41:H41"/>
    <mergeCell ref="K41:L41"/>
    <mergeCell ref="C42:D42"/>
    <mergeCell ref="A40:L40"/>
    <mergeCell ref="K5:L5"/>
    <mergeCell ref="K6:L6"/>
    <mergeCell ref="K7:L7"/>
    <mergeCell ref="A6:B6"/>
    <mergeCell ref="A7:B7"/>
    <mergeCell ref="C5:D5"/>
    <mergeCell ref="C6:D6"/>
    <mergeCell ref="C7:D7"/>
    <mergeCell ref="E6:F6"/>
    <mergeCell ref="E7:F7"/>
    <mergeCell ref="C126:D126"/>
    <mergeCell ref="E126:F126"/>
    <mergeCell ref="G126:H126"/>
    <mergeCell ref="K126:L126"/>
    <mergeCell ref="A86:B86"/>
    <mergeCell ref="C86:D86"/>
    <mergeCell ref="E86:F86"/>
    <mergeCell ref="G86:H86"/>
    <mergeCell ref="K86:L86"/>
    <mergeCell ref="A123:L123"/>
    <mergeCell ref="A127:B127"/>
    <mergeCell ref="C127:D127"/>
    <mergeCell ref="E127:F127"/>
    <mergeCell ref="G127:H127"/>
    <mergeCell ref="K127:L127"/>
    <mergeCell ref="A124:H124"/>
    <mergeCell ref="K124:L124"/>
    <mergeCell ref="C125:D125"/>
    <mergeCell ref="K125:L125"/>
    <mergeCell ref="A126:B126"/>
  </mergeCells>
  <printOptions/>
  <pageMargins left="0.1968503937007874" right="0.15748031496062992" top="0.31496062992125984" bottom="0.2362204724409449" header="0.15748031496062992" footer="0.15748031496062992"/>
  <pageSetup orientation="portrait" paperSize="9" scale="83" r:id="rId2"/>
  <rowBreaks count="3" manualBreakCount="3">
    <brk id="39" max="19" man="1"/>
    <brk id="81" max="19" man="1"/>
    <brk id="12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2016-10-10T01:49:43Z</cp:lastPrinted>
  <dcterms:created xsi:type="dcterms:W3CDTF">2004-10-29T06:51:22Z</dcterms:created>
  <dcterms:modified xsi:type="dcterms:W3CDTF">2016-10-10T01:49:51Z</dcterms:modified>
  <cp:category/>
  <cp:version/>
  <cp:contentType/>
  <cp:contentStatus/>
</cp:coreProperties>
</file>