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0"/>
  </bookViews>
  <sheets>
    <sheet name="กระแสเงินสด" sheetId="1" r:id="rId1"/>
    <sheet name="Sheet1" sheetId="2" r:id="rId2"/>
    <sheet name="งบทดลอง" sheetId="3" r:id="rId3"/>
    <sheet name="หมายเหตุ" sheetId="4" r:id="rId4"/>
    <sheet name="หมายเหตุยกมา" sheetId="5" r:id="rId5"/>
    <sheet name="รับจ่ายใหม่" sheetId="6" r:id="rId6"/>
    <sheet name="Sheet2" sheetId="7" r:id="rId7"/>
    <sheet name="Sheet3" sheetId="8" r:id="rId8"/>
  </sheets>
  <externalReferences>
    <externalReference r:id="rId11"/>
  </externalReferences>
  <definedNames>
    <definedName name="_xlnm.Print_Area" localSheetId="1">'Sheet1'!$A$1:$P$144</definedName>
    <definedName name="_xlnm.Print_Area" localSheetId="6">'Sheet2'!$A$1:$G$52</definedName>
    <definedName name="_xlnm.Print_Area" localSheetId="0">'กระแสเงินสด'!$A$1:$M$75</definedName>
    <definedName name="_xlnm.Print_Area" localSheetId="2">'งบทดลอง'!$A$1:$K$85</definedName>
    <definedName name="_xlnm.Print_Area" localSheetId="5">'รับจ่ายใหม่'!$A$1:$S$99</definedName>
    <definedName name="_xlnm.Print_Area" localSheetId="3">'หมายเหตุ'!$A$1:$R$48</definedName>
    <definedName name="_xlnm.Print_Area" localSheetId="4">'หมายเหตุยกมา'!$A$1:$I$72</definedName>
  </definedNames>
  <calcPr fullCalcOnLoad="1"/>
</workbook>
</file>

<file path=xl/sharedStrings.xml><?xml version="1.0" encoding="utf-8"?>
<sst xmlns="http://schemas.openxmlformats.org/spreadsheetml/2006/main" count="613" uniqueCount="340">
  <si>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</si>
  <si>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</si>
  <si>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</si>
  <si>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</si>
  <si>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</si>
  <si>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</si>
  <si>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</si>
  <si>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</si>
  <si>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</si>
  <si>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</si>
  <si>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</si>
  <si>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</si>
  <si>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</si>
  <si>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</si>
  <si>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</si>
  <si>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</si>
  <si>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</si>
  <si>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</si>
  <si>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</si>
  <si>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</si>
  <si>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</si>
  <si>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</si>
  <si>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</si>
  <si>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</si>
  <si>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</si>
  <si>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</si>
  <si>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</si>
  <si>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</si>
  <si>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</si>
  <si>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</si>
  <si>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</si>
  <si>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</si>
  <si>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</si>
  <si>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</si>
  <si>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</si>
  <si>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</si>
  <si>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</si>
  <si>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</si>
  <si>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</si>
  <si>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</si>
  <si>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</si>
  <si>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</si>
  <si>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</si>
  <si>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</si>
  <si>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</si>
  <si>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</si>
  <si>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</si>
  <si>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</si>
  <si>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</si>
  <si>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</si>
  <si>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</si>
  <si>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</si>
  <si>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</si>
  <si>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</si>
  <si>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</si>
  <si>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</si>
  <si>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</si>
  <si>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</si>
  <si>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</si>
  <si>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</si>
  <si>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</si>
  <si>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</si>
  <si>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</si>
  <si>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</si>
  <si>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</si>
  <si>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</si>
  <si>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</si>
  <si>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</si>
  <si>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</si>
  <si>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</si>
  <si>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</si>
  <si>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</si>
  <si>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</si>
  <si>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</si>
  <si>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</si>
  <si>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</si>
  <si>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</si>
  <si>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</si>
  <si>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</si>
  <si>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</si>
  <si>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</si>
  <si>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</si>
  <si>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</si>
  <si>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</si>
  <si>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</si>
  <si>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</si>
  <si>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</si>
  <si>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</si>
  <si>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</si>
  <si>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</si>
  <si>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</si>
  <si>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</si>
  <si>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</si>
  <si>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</si>
  <si>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</si>
  <si>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</si>
  <si>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</si>
  <si>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</si>
  <si>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</si>
  <si>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</si>
  <si>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</si>
  <si>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</si>
  <si>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</si>
  <si>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</si>
  <si>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</si>
  <si>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</si>
  <si>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</si>
  <si>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</si>
  <si>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</si>
  <si>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</si>
  <si>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</si>
  <si>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</si>
  <si>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</si>
  <si>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</si>
  <si>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</si>
  <si>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</si>
  <si>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</si>
  <si>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</si>
  <si>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</si>
  <si>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</si>
  <si>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</si>
  <si>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</si>
  <si>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</si>
  <si>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</si>
  <si>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</si>
  <si>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</si>
  <si>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</si>
  <si>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</si>
  <si>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</si>
  <si>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</si>
  <si>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</si>
  <si>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</si>
  <si>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</si>
  <si>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</si>
  <si>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</si>
  <si>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</si>
  <si>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</si>
  <si>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</si>
  <si>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</si>
  <si>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</si>
  <si>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</si>
  <si>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</si>
  <si>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ระบบหลักประกันสุขภาพระดับท้องถิ่น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</si>
  <si>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</si>
  <si>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</si>
  <si>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</si>
  <si>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</si>
  <si>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</si>
  <si>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</si>
  <si>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</si>
  <si>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</si>
  <si>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</si>
  <si>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</si>
  <si>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</si>
  <si>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</si>
  <si>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</si>
  <si>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</si>
  <si>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</si>
  <si>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</si>
  <si>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</si>
  <si>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</si>
  <si>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</si>
  <si>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</si>
  <si>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</si>
  <si>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</si>
  <si>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</si>
  <si>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</si>
  <si>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</si>
  <si>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113302</t>
  </si>
  <si>
    <t xml:space="preserve">        - อื่น ๆ (ระบบหลักประกันสุขภาพฯ)</t>
  </si>
  <si>
    <t>113600</t>
  </si>
  <si>
    <t>214000</t>
  </si>
  <si>
    <t>ฎีกาค้างจ่าย (รายจ่ายรอจ่าย)</t>
  </si>
  <si>
    <t>213000</t>
  </si>
  <si>
    <t>190002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</si>
  <si>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</si>
  <si>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</si>
  <si>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</si>
  <si>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</si>
  <si>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</si>
  <si>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</si>
  <si>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</si>
  <si>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</si>
  <si>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</si>
  <si>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</si>
  <si>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</si>
  <si>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</si>
  <si>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</si>
  <si>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</si>
  <si>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</si>
  <si>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</si>
  <si>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</si>
  <si>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</si>
  <si>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</si>
  <si>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เงินอุดหนุนทั่วไประบุวัตถุประสงค์-ประกันสังคม ผดด.ศูนย์เด็กฯ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</si>
  <si>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</si>
  <si>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</si>
  <si>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เพื่อปรับสภาพที่อยู่อาศัยแก่คนพิการ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</si>
  <si>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</si>
  <si>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</si>
  <si>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รับคืน - เงินเดือนฝ่ายประจำ (ค่าจ้างชั่วคราว)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</si>
  <si>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</si>
  <si>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</si>
  <si>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</si>
  <si>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</si>
  <si>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</si>
  <si>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</si>
  <si>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</si>
  <si>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</si>
  <si>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</si>
  <si>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</si>
  <si>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</si>
  <si>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</si>
  <si>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</si>
  <si>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</si>
  <si>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</si>
  <si>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</si>
  <si>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</si>
  <si>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</si>
  <si>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</si>
  <si>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</si>
  <si>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</si>
  <si>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</si>
  <si>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</si>
  <si>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</si>
  <si>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</si>
  <si>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</si>
  <si>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</si>
  <si>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เงินอุดหนุนทั่วไปกำหนดวัตถุประสงค์-โครงการก่อสร้างอาคารเรียนฯ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</si>
  <si>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</si>
  <si>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</si>
  <si>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</si>
  <si>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</si>
  <si>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</si>
  <si>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</si>
  <si>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</si>
  <si>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</si>
  <si>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</si>
  <si>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</si>
  <si>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</si>
  <si>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เงินอุดหนุนทั่วไปกำหนดวัตถุประสงค์ - ค่าช่วยเหลือบุตร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</si>
  <si>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</si>
  <si>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</si>
  <si>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</si>
  <si>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</si>
  <si>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</si>
  <si>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</si>
  <si>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</si>
  <si>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</si>
  <si>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</si>
  <si>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</si>
  <si>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</si>
  <si>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</si>
  <si>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</si>
  <si>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</si>
  <si>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</si>
  <si>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</si>
  <si>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</si>
  <si>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</si>
  <si>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</si>
  <si>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</si>
  <si>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</si>
  <si>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</si>
  <si>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</si>
  <si>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</si>
  <si>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</si>
  <si>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</si>
  <si>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</si>
  <si>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</si>
  <si>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</si>
  <si>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</si>
  <si>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</si>
  <si>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</si>
  <si>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</si>
  <si>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</si>
  <si>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</si>
  <si>
    <t>รายได้ค้างรับจากรัฐบาล</t>
  </si>
  <si>
    <t>เจ้าหนี้เงินสะสม</t>
  </si>
  <si>
    <t>41100000</t>
  </si>
  <si>
    <t>41200000</t>
  </si>
  <si>
    <t>41300000</t>
  </si>
  <si>
    <t>41500000</t>
  </si>
  <si>
    <t>42100000</t>
  </si>
  <si>
    <t>43100000</t>
  </si>
  <si>
    <t>11043001</t>
  </si>
  <si>
    <t>11043002</t>
  </si>
  <si>
    <t>11045000</t>
  </si>
  <si>
    <t>11041000</t>
  </si>
  <si>
    <t>11047000</t>
  </si>
  <si>
    <t>11046000</t>
  </si>
  <si>
    <t>31000000</t>
  </si>
  <si>
    <t>32000000</t>
  </si>
  <si>
    <t>22012002</t>
  </si>
  <si>
    <t>21100000</t>
  </si>
  <si>
    <t>21300000</t>
  </si>
  <si>
    <t>51100000</t>
  </si>
  <si>
    <t>5220700</t>
  </si>
  <si>
    <t>5310000</t>
  </si>
  <si>
    <t>53200000</t>
  </si>
  <si>
    <t>5330000</t>
  </si>
  <si>
    <t>53400000</t>
  </si>
  <si>
    <t>5320000</t>
  </si>
  <si>
    <t>5340000</t>
  </si>
  <si>
    <t>5420000</t>
  </si>
  <si>
    <t>5610000</t>
  </si>
  <si>
    <t>5510000</t>
  </si>
  <si>
    <t>22011001</t>
  </si>
  <si>
    <t>22011002</t>
  </si>
  <si>
    <t>11032000</t>
  </si>
  <si>
    <t>5220000</t>
  </si>
  <si>
    <t>52200000</t>
  </si>
  <si>
    <t>53100000</t>
  </si>
  <si>
    <t>5100000</t>
  </si>
  <si>
    <t>5210000</t>
  </si>
  <si>
    <t>11012001</t>
  </si>
  <si>
    <t>11012002</t>
  </si>
  <si>
    <t>11012003</t>
  </si>
  <si>
    <t>ค่าครุภัณฑ์ -เงินอุดหนุนทั่วไปกำหนดวัตถุประสงค์สำหรับพัฒนาคุณภาพฯ</t>
  </si>
  <si>
    <t>44100001</t>
  </si>
  <si>
    <t>เงินรับฝาก-ค่าตอนแทน/ค่าครองชีพกรณีขาดราชการ</t>
  </si>
  <si>
    <t>21040000</t>
  </si>
  <si>
    <t>21030000</t>
  </si>
  <si>
    <t>54100000</t>
  </si>
  <si>
    <t>21010000</t>
  </si>
  <si>
    <t>21020000</t>
  </si>
  <si>
    <t>12010010</t>
  </si>
  <si>
    <t>12010000</t>
  </si>
  <si>
    <t>54200000</t>
  </si>
  <si>
    <t>56100000</t>
  </si>
  <si>
    <t>11061100</t>
  </si>
  <si>
    <t>210300000</t>
  </si>
  <si>
    <t>40000000</t>
  </si>
  <si>
    <t>24010000</t>
  </si>
  <si>
    <t>ปีงบประมาณ   2560     ประจำเดือน เมษายน  2560</t>
  </si>
  <si>
    <t xml:space="preserve">ณ   วันที่ 28  เมษายน  พ.ศ. 2560 </t>
  </si>
  <si>
    <t>1  เมษายน  - 28  เมษายน  2560</t>
  </si>
  <si>
    <t>1  ตุลาคม  2559 -   28  เมษายน  2560</t>
  </si>
  <si>
    <t>เพียงวันที่   28  เมษายน     2560</t>
  </si>
  <si>
    <t>44100000</t>
  </si>
  <si>
    <t>หมวดเงินอุดหนุนทั่วไปกำหนดวัตถุประสงค์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</si>
</sst>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sz val="14"/>
      <name val="DilleniaUPC"/>
      <family val="1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3" xfId="38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21" xfId="0" applyFont="1" applyFill="1" applyBorder="1" applyAlignment="1">
      <alignment/>
    </xf>
    <xf numFmtId="43" fontId="1" fillId="0" borderId="21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0" xfId="0" applyFont="1" applyFill="1" applyBorder="1" applyAlignment="1">
      <alignment/>
    </xf>
    <xf numFmtId="43" fontId="5" fillId="0" borderId="22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05" fontId="0" fillId="0" borderId="0" xfId="38" applyNumberFormat="1" applyFont="1" applyAlignment="1">
      <alignment/>
    </xf>
    <xf numFmtId="43" fontId="5" fillId="0" borderId="0" xfId="0" applyNumberFormat="1" applyFont="1" applyBorder="1" applyAlignment="1">
      <alignment vertical="top"/>
    </xf>
    <xf numFmtId="43" fontId="50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4" xfId="38" applyFont="1" applyBorder="1" applyAlignment="1">
      <alignment/>
    </xf>
    <xf numFmtId="43" fontId="7" fillId="0" borderId="30" xfId="0" applyNumberFormat="1" applyFont="1" applyBorder="1" applyAlignment="1">
      <alignment/>
    </xf>
    <xf numFmtId="43" fontId="7" fillId="0" borderId="29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43" fontId="7" fillId="0" borderId="29" xfId="38" applyFont="1" applyBorder="1" applyAlignment="1">
      <alignment/>
    </xf>
    <xf numFmtId="43" fontId="7" fillId="0" borderId="24" xfId="0" applyNumberFormat="1" applyFont="1" applyBorder="1" applyAlignment="1">
      <alignment/>
    </xf>
    <xf numFmtId="43" fontId="7" fillId="0" borderId="30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0" xfId="38" applyFont="1" applyBorder="1" applyAlignment="1">
      <alignment/>
    </xf>
    <xf numFmtId="43" fontId="7" fillId="0" borderId="36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7" xfId="0" applyFont="1" applyBorder="1" applyAlignment="1">
      <alignment/>
    </xf>
    <xf numFmtId="43" fontId="7" fillId="0" borderId="31" xfId="0" applyNumberFormat="1" applyFont="1" applyBorder="1" applyAlignment="1">
      <alignment/>
    </xf>
    <xf numFmtId="43" fontId="7" fillId="0" borderId="10" xfId="38" applyNumberFormat="1" applyFont="1" applyBorder="1" applyAlignment="1">
      <alignment/>
    </xf>
    <xf numFmtId="204" fontId="7" fillId="0" borderId="10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38" xfId="0" applyFont="1" applyFill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43" fontId="7" fillId="0" borderId="10" xfId="38" applyFont="1" applyBorder="1" applyAlignment="1">
      <alignment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43" fontId="7" fillId="0" borderId="41" xfId="38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1" xfId="38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43" fontId="4" fillId="0" borderId="11" xfId="38" applyFont="1" applyBorder="1" applyAlignment="1">
      <alignment/>
    </xf>
    <xf numFmtId="43" fontId="5" fillId="0" borderId="11" xfId="38" applyFont="1" applyFill="1" applyBorder="1" applyAlignment="1">
      <alignment horizontal="left" vertical="center"/>
    </xf>
    <xf numFmtId="43" fontId="4" fillId="0" borderId="42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43" fontId="4" fillId="0" borderId="42" xfId="38" applyFont="1" applyBorder="1" applyAlignment="1">
      <alignment vertical="center"/>
    </xf>
    <xf numFmtId="43" fontId="5" fillId="0" borderId="10" xfId="38" applyFont="1" applyBorder="1" applyAlignment="1">
      <alignment vertical="top"/>
    </xf>
    <xf numFmtId="43" fontId="5" fillId="0" borderId="52" xfId="38" applyFont="1" applyBorder="1" applyAlignment="1">
      <alignment vertical="top"/>
    </xf>
    <xf numFmtId="0" fontId="10" fillId="0" borderId="2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3" fontId="7" fillId="0" borderId="34" xfId="38" applyFont="1" applyBorder="1" applyAlignment="1">
      <alignment/>
    </xf>
    <xf numFmtId="0" fontId="14" fillId="0" borderId="10" xfId="0" applyFont="1" applyBorder="1" applyAlignment="1">
      <alignment vertical="top"/>
    </xf>
    <xf numFmtId="43" fontId="5" fillId="0" borderId="10" xfId="38" applyFont="1" applyBorder="1" applyAlignment="1">
      <alignment vertical="center"/>
    </xf>
    <xf numFmtId="0" fontId="5" fillId="0" borderId="0" xfId="0" applyFont="1" applyBorder="1" applyAlignment="1">
      <alignment horizontal="centerContinuous" vertical="top"/>
    </xf>
    <xf numFmtId="43" fontId="5" fillId="0" borderId="0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8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112" zoomScaleSheetLayoutView="112" zoomScalePageLayoutView="0" workbookViewId="0" topLeftCell="A1">
      <selection activeCell="I54" sqref="I54"/>
    </sheetView>
  </sheetViews>
  <sheetFormatPr defaultColWidth="9.140625" defaultRowHeight="22.5" customHeight="1"/>
  <cols>
    <col min="1" max="1" width="2.7109375" style="21" customWidth="1"/>
    <col min="2" max="2" width="53.57421875" style="21" customWidth="1"/>
    <col min="3" max="3" width="18.00390625" style="21" customWidth="1"/>
    <col min="4" max="4" width="4.00390625" style="21" customWidth="1"/>
    <col min="5" max="5" width="18.421875" style="21" customWidth="1"/>
    <col min="6" max="6" width="9.140625" style="21" customWidth="1"/>
    <col min="7" max="7" width="16.421875" style="27" bestFit="1" customWidth="1"/>
    <col min="8" max="8" width="15.57421875" style="21" bestFit="1" customWidth="1"/>
    <col min="9" max="9" width="16.421875" style="27" bestFit="1" customWidth="1"/>
    <col min="10" max="16384" width="9.140625" style="21" customWidth="1"/>
  </cols>
  <sheetData>
    <row r="1" spans="2:5" ht="22.5" customHeight="1">
      <c r="B1" s="173" t="s">
        <v>180</v>
      </c>
      <c r="C1" s="173"/>
      <c r="D1" s="173"/>
      <c r="E1" s="173"/>
    </row>
    <row r="2" spans="2:5" ht="22.5" customHeight="1">
      <c r="B2" s="173" t="s">
        <v>32</v>
      </c>
      <c r="C2" s="173"/>
      <c r="D2" s="173"/>
      <c r="E2" s="173"/>
    </row>
    <row r="3" spans="2:5" ht="22.5" customHeight="1">
      <c r="B3" s="173" t="s">
        <v>337</v>
      </c>
      <c r="C3" s="173"/>
      <c r="D3" s="173"/>
      <c r="E3" s="173"/>
    </row>
    <row r="4" spans="1:5" ht="22.5" customHeight="1">
      <c r="A4" s="25" t="s">
        <v>33</v>
      </c>
      <c r="C4" s="26" t="s">
        <v>7</v>
      </c>
      <c r="E4" s="26" t="s">
        <v>34</v>
      </c>
    </row>
    <row r="5" spans="2:7" ht="22.5" customHeight="1">
      <c r="B5" s="21" t="s">
        <v>35</v>
      </c>
      <c r="C5" s="27">
        <v>20027592.01</v>
      </c>
      <c r="E5" s="27">
        <f>35828321.46+10874366.55+13355927.11+35796224.89+17168991.2+13860500.93+20027592.01</f>
        <v>146911924.15</v>
      </c>
      <c r="G5" s="27" t="s">
        <v>213</v>
      </c>
    </row>
    <row r="6" spans="2:9" ht="22.5" customHeight="1">
      <c r="B6" s="21" t="s">
        <v>36</v>
      </c>
      <c r="C6" s="27">
        <f>+หมายเหตุ!C32</f>
        <v>915033.54</v>
      </c>
      <c r="E6" s="27">
        <f>940485.79+3796141.53+857340.71+800+3163896.24+2569460.71+1776493.05+915033.54</f>
        <v>14019651.57</v>
      </c>
      <c r="G6" s="65" t="s">
        <v>214</v>
      </c>
      <c r="I6" s="65" t="s">
        <v>203</v>
      </c>
    </row>
    <row r="7" spans="2:7" ht="22.5" customHeight="1">
      <c r="B7" s="21" t="s">
        <v>93</v>
      </c>
      <c r="C7" s="27">
        <v>1304381</v>
      </c>
      <c r="E7" s="27">
        <f>95600+1678594+1623220+1732600+1659380+1634033.12+1304381</f>
        <v>9727808.120000001</v>
      </c>
      <c r="G7" s="27" t="s">
        <v>219</v>
      </c>
    </row>
    <row r="8" spans="2:9" ht="22.5" customHeight="1">
      <c r="B8" s="21" t="s">
        <v>94</v>
      </c>
      <c r="C8" s="27">
        <v>0</v>
      </c>
      <c r="E8" s="27">
        <f aca="true" t="shared" si="0" ref="E8:E16">+C8</f>
        <v>0</v>
      </c>
      <c r="G8" s="27" t="s">
        <v>219</v>
      </c>
      <c r="I8" s="27">
        <v>0</v>
      </c>
    </row>
    <row r="9" spans="2:5" ht="22.5" customHeight="1">
      <c r="B9" s="21" t="s">
        <v>272</v>
      </c>
      <c r="C9" s="27">
        <v>1000</v>
      </c>
      <c r="E9" s="27">
        <f>32700+13700+12857+1000+1000+1000</f>
        <v>62257</v>
      </c>
    </row>
    <row r="10" spans="2:5" ht="22.5" customHeight="1">
      <c r="B10" s="21" t="s">
        <v>145</v>
      </c>
      <c r="C10" s="27">
        <v>0</v>
      </c>
      <c r="E10" s="27">
        <v>30400</v>
      </c>
    </row>
    <row r="11" spans="2:9" ht="22.5" customHeight="1">
      <c r="B11" s="21" t="s">
        <v>70</v>
      </c>
      <c r="C11" s="27">
        <v>0</v>
      </c>
      <c r="E11" s="27">
        <f t="shared" si="0"/>
        <v>0</v>
      </c>
      <c r="I11" s="27" t="s">
        <v>203</v>
      </c>
    </row>
    <row r="12" spans="2:5" ht="22.5" customHeight="1">
      <c r="B12" s="21" t="s">
        <v>116</v>
      </c>
      <c r="C12" s="27">
        <v>0</v>
      </c>
      <c r="E12" s="27">
        <f t="shared" si="0"/>
        <v>0</v>
      </c>
    </row>
    <row r="13" spans="2:5" ht="22.5" customHeight="1">
      <c r="B13" s="21" t="s">
        <v>225</v>
      </c>
      <c r="C13" s="27">
        <v>0</v>
      </c>
      <c r="E13" s="27">
        <f t="shared" si="0"/>
        <v>0</v>
      </c>
    </row>
    <row r="14" spans="2:7" ht="22.5" customHeight="1">
      <c r="B14" s="21" t="s">
        <v>181</v>
      </c>
      <c r="C14" s="27">
        <v>0</v>
      </c>
      <c r="E14" s="27">
        <f t="shared" si="0"/>
        <v>0</v>
      </c>
      <c r="G14" s="27" t="s">
        <v>232</v>
      </c>
    </row>
    <row r="15" spans="2:5" ht="19.5" customHeight="1" hidden="1">
      <c r="B15" s="32" t="s">
        <v>192</v>
      </c>
      <c r="C15" s="27"/>
      <c r="E15" s="27">
        <f t="shared" si="0"/>
        <v>0</v>
      </c>
    </row>
    <row r="16" spans="2:5" ht="22.5" customHeight="1" hidden="1">
      <c r="B16" s="21" t="s">
        <v>117</v>
      </c>
      <c r="C16" s="27"/>
      <c r="E16" s="27">
        <f t="shared" si="0"/>
        <v>0</v>
      </c>
    </row>
    <row r="17" spans="2:5" ht="22.5" customHeight="1">
      <c r="B17" s="21" t="s">
        <v>61</v>
      </c>
      <c r="C17" s="27">
        <v>0</v>
      </c>
      <c r="E17" s="27">
        <f>68202.38+20850+6500+15200</f>
        <v>110752.38</v>
      </c>
    </row>
    <row r="18" spans="2:5" ht="22.5" customHeight="1" hidden="1">
      <c r="B18" s="21" t="s">
        <v>124</v>
      </c>
      <c r="C18" s="27"/>
      <c r="E18" s="27"/>
    </row>
    <row r="19" spans="2:5" ht="22.5" customHeight="1" hidden="1">
      <c r="B19" s="21" t="s">
        <v>77</v>
      </c>
      <c r="C19" s="27"/>
      <c r="E19" s="27"/>
    </row>
    <row r="20" spans="2:5" ht="22.5" customHeight="1" hidden="1">
      <c r="B20" s="21" t="s">
        <v>21</v>
      </c>
      <c r="C20" s="27"/>
      <c r="E20" s="27"/>
    </row>
    <row r="21" spans="2:5" ht="22.5" customHeight="1" hidden="1">
      <c r="B21" s="21" t="s">
        <v>30</v>
      </c>
      <c r="C21" s="27"/>
      <c r="E21" s="27"/>
    </row>
    <row r="22" spans="2:8" ht="22.5" customHeight="1">
      <c r="B22" s="21" t="s">
        <v>103</v>
      </c>
      <c r="C22" s="27">
        <v>600</v>
      </c>
      <c r="E22" s="27">
        <f>63300+1500+700+700+600</f>
        <v>66800</v>
      </c>
      <c r="G22" s="89" t="s">
        <v>230</v>
      </c>
      <c r="H22" s="27">
        <v>18338664.49</v>
      </c>
    </row>
    <row r="23" spans="2:8" ht="22.5" customHeight="1">
      <c r="B23" s="21" t="s">
        <v>200</v>
      </c>
      <c r="C23" s="27">
        <v>90636.88</v>
      </c>
      <c r="E23" s="27">
        <f>19956.18+21071.43+90636.88</f>
        <v>131664.49</v>
      </c>
      <c r="G23" s="89" t="s">
        <v>231</v>
      </c>
      <c r="H23" s="27">
        <v>461509</v>
      </c>
    </row>
    <row r="24" spans="2:8" ht="22.5" customHeight="1">
      <c r="B24" s="21" t="s">
        <v>275</v>
      </c>
      <c r="C24" s="27">
        <v>0</v>
      </c>
      <c r="E24" s="27">
        <f aca="true" t="shared" si="1" ref="E24:E32">+C24</f>
        <v>0</v>
      </c>
      <c r="G24" s="89" t="s">
        <v>234</v>
      </c>
      <c r="H24" s="27">
        <v>879265.19</v>
      </c>
    </row>
    <row r="25" spans="2:5" ht="22.5" customHeight="1" hidden="1">
      <c r="B25" s="21" t="s">
        <v>102</v>
      </c>
      <c r="C25" s="27"/>
      <c r="E25" s="27">
        <f t="shared" si="1"/>
        <v>0</v>
      </c>
    </row>
    <row r="26" spans="2:5" ht="22.5" customHeight="1" hidden="1">
      <c r="B26" s="21" t="s">
        <v>97</v>
      </c>
      <c r="C26" s="27"/>
      <c r="E26" s="27">
        <f t="shared" si="1"/>
        <v>0</v>
      </c>
    </row>
    <row r="27" spans="2:8" ht="22.5" customHeight="1">
      <c r="B27" s="21" t="s">
        <v>98</v>
      </c>
      <c r="C27" s="27">
        <v>0</v>
      </c>
      <c r="E27" s="27">
        <f t="shared" si="1"/>
        <v>0</v>
      </c>
      <c r="H27" s="88">
        <f>SUM(H22:H26)</f>
        <v>19679438.68</v>
      </c>
    </row>
    <row r="28" spans="2:5" ht="22.5" customHeight="1">
      <c r="B28" s="21" t="s">
        <v>100</v>
      </c>
      <c r="C28" s="27">
        <v>0</v>
      </c>
      <c r="E28" s="27">
        <f>20+256+170</f>
        <v>446</v>
      </c>
    </row>
    <row r="29" spans="2:5" ht="22.5" customHeight="1" hidden="1">
      <c r="B29" s="21" t="s">
        <v>126</v>
      </c>
      <c r="C29" s="27"/>
      <c r="E29" s="27">
        <f t="shared" si="1"/>
        <v>0</v>
      </c>
    </row>
    <row r="30" spans="2:5" ht="22.5" customHeight="1" hidden="1">
      <c r="B30" s="21" t="s">
        <v>95</v>
      </c>
      <c r="C30" s="27"/>
      <c r="E30" s="27">
        <f t="shared" si="1"/>
        <v>0</v>
      </c>
    </row>
    <row r="31" spans="2:9" ht="22.5" customHeight="1">
      <c r="B31" s="21" t="s">
        <v>218</v>
      </c>
      <c r="C31" s="27">
        <v>11905</v>
      </c>
      <c r="E31" s="27">
        <f>10680+11905</f>
        <v>22585</v>
      </c>
      <c r="G31" s="27" t="s">
        <v>203</v>
      </c>
      <c r="I31" s="27">
        <f>+H27-C33</f>
        <v>-2671709.75</v>
      </c>
    </row>
    <row r="32" spans="2:5" ht="22.5" customHeight="1">
      <c r="B32" s="21" t="s">
        <v>126</v>
      </c>
      <c r="C32" s="27">
        <v>0</v>
      </c>
      <c r="E32" s="27">
        <f t="shared" si="1"/>
        <v>0</v>
      </c>
    </row>
    <row r="33" spans="2:7" ht="22.5" customHeight="1" thickBot="1">
      <c r="B33" s="28" t="s">
        <v>31</v>
      </c>
      <c r="C33" s="29">
        <f>SUM(C5:C32)</f>
        <v>22351148.43</v>
      </c>
      <c r="D33" s="30"/>
      <c r="E33" s="29">
        <f>SUM(E5:E32)</f>
        <v>171084288.71</v>
      </c>
      <c r="G33" s="27" t="s">
        <v>233</v>
      </c>
    </row>
    <row r="34" spans="2:5" ht="22.5" customHeight="1" thickTop="1">
      <c r="B34" s="28"/>
      <c r="C34" s="72"/>
      <c r="D34" s="30"/>
      <c r="E34" s="72"/>
    </row>
    <row r="35" spans="2:5" ht="22.5" customHeight="1">
      <c r="B35" s="28"/>
      <c r="C35" s="72"/>
      <c r="D35" s="30"/>
      <c r="E35" s="72"/>
    </row>
    <row r="36" spans="2:5" ht="22.5" customHeight="1">
      <c r="B36" s="28" t="s">
        <v>203</v>
      </c>
      <c r="C36" s="72"/>
      <c r="D36" s="30"/>
      <c r="E36" s="72"/>
    </row>
    <row r="37" spans="2:5" ht="22.5" customHeight="1">
      <c r="B37" s="28"/>
      <c r="C37" s="72"/>
      <c r="D37" s="30"/>
      <c r="E37" s="72"/>
    </row>
    <row r="38" spans="2:5" ht="22.5" customHeight="1">
      <c r="B38" s="28"/>
      <c r="C38" s="72"/>
      <c r="D38" s="30"/>
      <c r="E38" s="72"/>
    </row>
    <row r="39" spans="2:5" ht="22.5" customHeight="1">
      <c r="B39" s="28"/>
      <c r="C39" s="72"/>
      <c r="D39" s="30"/>
      <c r="E39" s="72"/>
    </row>
    <row r="40" spans="2:5" ht="22.5" customHeight="1">
      <c r="B40" s="28"/>
      <c r="C40" s="72"/>
      <c r="D40" s="30"/>
      <c r="E40" s="72"/>
    </row>
    <row r="41" spans="2:5" ht="22.5" customHeight="1">
      <c r="B41" s="28"/>
      <c r="C41" s="72"/>
      <c r="D41" s="30"/>
      <c r="E41" s="72"/>
    </row>
    <row r="42" spans="2:5" ht="22.5" customHeight="1">
      <c r="B42" s="28"/>
      <c r="C42" s="72"/>
      <c r="D42" s="30"/>
      <c r="E42" s="72"/>
    </row>
    <row r="43" spans="2:5" ht="22.5" customHeight="1">
      <c r="B43" s="28"/>
      <c r="C43" s="72"/>
      <c r="D43" s="30"/>
      <c r="E43" s="72"/>
    </row>
    <row r="44" spans="2:5" ht="22.5" customHeight="1">
      <c r="B44" s="28" t="s">
        <v>260</v>
      </c>
      <c r="C44" s="72"/>
      <c r="D44" s="30"/>
      <c r="E44" s="72"/>
    </row>
    <row r="45" spans="1:5" ht="22.5" customHeight="1">
      <c r="A45" s="25" t="s">
        <v>13</v>
      </c>
      <c r="B45" s="30"/>
      <c r="C45" s="26" t="s">
        <v>7</v>
      </c>
      <c r="E45" s="26" t="s">
        <v>34</v>
      </c>
    </row>
    <row r="46" spans="2:7" ht="22.5" customHeight="1">
      <c r="B46" s="21" t="s">
        <v>71</v>
      </c>
      <c r="C46" s="27">
        <v>15766986.51</v>
      </c>
      <c r="E46" s="27">
        <f>8548195.88+15300+14552326.94+10190501.79+14677263.25+15479862.47+15814313.76+15766986.51</f>
        <v>95044750.60000001</v>
      </c>
      <c r="G46" s="27" t="s">
        <v>223</v>
      </c>
    </row>
    <row r="47" spans="2:5" ht="22.5" customHeight="1" hidden="1">
      <c r="B47" s="21" t="s">
        <v>107</v>
      </c>
      <c r="C47" s="27"/>
      <c r="E47" s="27">
        <f aca="true" t="shared" si="2" ref="E47:E61">+C47</f>
        <v>0</v>
      </c>
    </row>
    <row r="48" spans="2:5" ht="22.5" customHeight="1" hidden="1">
      <c r="B48" s="21" t="s">
        <v>160</v>
      </c>
      <c r="C48" s="27"/>
      <c r="E48" s="27">
        <f t="shared" si="2"/>
        <v>0</v>
      </c>
    </row>
    <row r="49" spans="2:5" ht="22.5" customHeight="1" hidden="1">
      <c r="B49" s="21" t="s">
        <v>118</v>
      </c>
      <c r="C49" s="27"/>
      <c r="E49" s="27">
        <f t="shared" si="2"/>
        <v>0</v>
      </c>
    </row>
    <row r="50" spans="2:7" ht="22.5" customHeight="1">
      <c r="B50" s="21" t="s">
        <v>72</v>
      </c>
      <c r="C50" s="27">
        <f>+หมายเหตุ!D32</f>
        <v>1771533</v>
      </c>
      <c r="E50" s="27">
        <f>715046.52+1028367.48+3345496.48+1612704.96+1449421.98+3391495.96+1771533</f>
        <v>13314066.379999999</v>
      </c>
      <c r="G50" s="27" t="s">
        <v>216</v>
      </c>
    </row>
    <row r="51" spans="2:7" ht="22.5" customHeight="1">
      <c r="B51" s="62" t="s">
        <v>73</v>
      </c>
      <c r="C51" s="27">
        <v>0</v>
      </c>
      <c r="E51" s="27">
        <v>0</v>
      </c>
      <c r="G51" s="27" t="s">
        <v>215</v>
      </c>
    </row>
    <row r="52" spans="2:5" ht="22.5" customHeight="1">
      <c r="B52" s="62" t="s">
        <v>229</v>
      </c>
      <c r="C52" s="27">
        <v>0</v>
      </c>
      <c r="E52" s="27">
        <f t="shared" si="2"/>
        <v>0</v>
      </c>
    </row>
    <row r="53" spans="2:7" ht="22.5" customHeight="1">
      <c r="B53" s="21" t="s">
        <v>74</v>
      </c>
      <c r="C53" s="27">
        <v>1431770</v>
      </c>
      <c r="E53" s="27">
        <f>45944+3252420+189150+1689150+1767054+1566640.12+1431770</f>
        <v>9942128.120000001</v>
      </c>
      <c r="G53" s="27" t="s">
        <v>215</v>
      </c>
    </row>
    <row r="54" spans="2:7" ht="22.5" customHeight="1">
      <c r="B54" s="21" t="s">
        <v>75</v>
      </c>
      <c r="C54" s="27">
        <v>0</v>
      </c>
      <c r="E54" s="27">
        <f t="shared" si="2"/>
        <v>0</v>
      </c>
      <c r="G54" s="27" t="s">
        <v>215</v>
      </c>
    </row>
    <row r="55" spans="2:5" ht="22.5" customHeight="1">
      <c r="B55" s="21" t="s">
        <v>273</v>
      </c>
      <c r="C55" s="27">
        <v>0</v>
      </c>
      <c r="E55" s="27">
        <f>23600+6800</f>
        <v>30400</v>
      </c>
    </row>
    <row r="56" spans="2:7" ht="22.5" customHeight="1">
      <c r="B56" s="21" t="s">
        <v>90</v>
      </c>
      <c r="C56" s="27">
        <v>0</v>
      </c>
      <c r="E56" s="27">
        <v>237847.96</v>
      </c>
      <c r="G56" s="27" t="s">
        <v>215</v>
      </c>
    </row>
    <row r="57" spans="2:7" ht="22.5" customHeight="1">
      <c r="B57" s="21" t="s">
        <v>77</v>
      </c>
      <c r="C57" s="27">
        <v>0</v>
      </c>
      <c r="E57" s="27">
        <v>78200</v>
      </c>
      <c r="G57" s="27" t="s">
        <v>215</v>
      </c>
    </row>
    <row r="58" spans="2:7" ht="22.5" customHeight="1">
      <c r="B58" s="21" t="s">
        <v>21</v>
      </c>
      <c r="C58" s="27">
        <v>0</v>
      </c>
      <c r="E58" s="27">
        <f>34000+132800+400786.5+4780000</f>
        <v>5347586.5</v>
      </c>
      <c r="G58" s="27" t="s">
        <v>215</v>
      </c>
    </row>
    <row r="59" spans="2:7" ht="22.5" customHeight="1">
      <c r="B59" s="21" t="s">
        <v>30</v>
      </c>
      <c r="C59" s="27">
        <v>0</v>
      </c>
      <c r="E59" s="27">
        <f t="shared" si="2"/>
        <v>0</v>
      </c>
      <c r="G59" s="27" t="s">
        <v>215</v>
      </c>
    </row>
    <row r="60" spans="2:5" ht="22.5" customHeight="1" hidden="1">
      <c r="B60" s="21" t="s">
        <v>76</v>
      </c>
      <c r="C60" s="27"/>
      <c r="E60" s="27">
        <f t="shared" si="2"/>
        <v>0</v>
      </c>
    </row>
    <row r="61" spans="2:5" ht="22.5" customHeight="1">
      <c r="B61" s="21" t="s">
        <v>96</v>
      </c>
      <c r="C61" s="27">
        <v>0</v>
      </c>
      <c r="E61" s="27">
        <f t="shared" si="2"/>
        <v>0</v>
      </c>
    </row>
    <row r="62" spans="2:7" ht="22.5" customHeight="1" thickBot="1">
      <c r="B62" s="28" t="s">
        <v>31</v>
      </c>
      <c r="C62" s="29">
        <f>SUM(C46:C61)</f>
        <v>18970289.509999998</v>
      </c>
      <c r="D62" s="30"/>
      <c r="E62" s="29">
        <f>SUM(E46:E61)</f>
        <v>123994979.56</v>
      </c>
      <c r="G62" s="27">
        <v>0</v>
      </c>
    </row>
    <row r="63" spans="2:7" ht="22.5" customHeight="1" thickBot="1" thickTop="1">
      <c r="B63" s="30" t="s">
        <v>38</v>
      </c>
      <c r="C63" s="31">
        <f>C33-C62</f>
        <v>3380858.920000002</v>
      </c>
      <c r="D63" s="30"/>
      <c r="E63" s="31">
        <f>E33-E62</f>
        <v>47089309.150000006</v>
      </c>
      <c r="G63" s="27" t="s">
        <v>203</v>
      </c>
    </row>
    <row r="64" ht="22.5" customHeight="1" thickTop="1">
      <c r="B64" s="21" t="s">
        <v>203</v>
      </c>
    </row>
    <row r="67" spans="7:8" ht="22.5" customHeight="1">
      <c r="G67" s="27">
        <v>19227962.38</v>
      </c>
      <c r="H67" s="88">
        <f>+G67-C62</f>
        <v>257672.87000000104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112" zoomScaleSheetLayoutView="112" zoomScalePageLayoutView="0" workbookViewId="0" topLeftCell="A122">
      <selection activeCell="G140" sqref="G140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4">IF(A1-INT(A1)&lt;&gt;0,RIGHT(C1,2),)</f>
        <v>40</v>
      </c>
      <c r="G1" s="1">
        <v>45892018.23</v>
      </c>
      <c r="H1" s="1" t="str">
        <f aca="true" t="shared" si="1" ref="H1:H65">TEXT(G1,"#.#0")</f>
        <v>45892018.23</v>
      </c>
      <c r="I1" s="2">
        <f>INT(H1)</f>
        <v>45892018</v>
      </c>
      <c r="J1" s="3" t="str">
        <f>IF(G1-INT(G1)&lt;&gt;0,RIGHT(H1,2),)</f>
        <v>23</v>
      </c>
    </row>
    <row r="2" spans="1:10" ht="23.25">
      <c r="A2" s="1">
        <f>98213.5+115009+85167.85+1018565.8+4357034.75+3943138.3+422492.3+763208.78+607580.45+342561.75+329570.5</f>
        <v>12082542.979999999</v>
      </c>
      <c r="C2" s="1" t="str">
        <f aca="true" t="shared" si="2" ref="C2:C141">TEXT(A2,"#.#0")</f>
        <v>12082542.98</v>
      </c>
      <c r="D2" s="2">
        <f>INT(C2)</f>
        <v>12082542</v>
      </c>
      <c r="E2" s="3" t="str">
        <f t="shared" si="0"/>
        <v>98</v>
      </c>
      <c r="F2" s="5" t="s">
        <v>81</v>
      </c>
      <c r="G2" s="1">
        <v>329570.5</v>
      </c>
      <c r="H2" s="1" t="str">
        <f t="shared" si="1"/>
        <v>329570.50</v>
      </c>
      <c r="I2" s="2">
        <f aca="true" t="shared" si="3" ref="I2:I141">INT(H2)</f>
        <v>329570</v>
      </c>
      <c r="J2" s="3" t="str">
        <f>IF(G2-INT(G2)&lt;&gt;0,RIGHT(H2,2),)</f>
        <v>50</v>
      </c>
    </row>
    <row r="3" spans="1:10" ht="23.25">
      <c r="A3" s="1">
        <f>62717.4+351822+352638+319918+403862+343787+326867+335870+343012+315228+363790</f>
        <v>3519511.4</v>
      </c>
      <c r="C3" s="1" t="str">
        <f t="shared" si="2"/>
        <v>3519511.40</v>
      </c>
      <c r="D3" s="2">
        <f aca="true" t="shared" si="4" ref="D3:D141">INT(C3)</f>
        <v>3519511</v>
      </c>
      <c r="E3" s="3" t="str">
        <f t="shared" si="0"/>
        <v>40</v>
      </c>
      <c r="F3" s="5" t="s">
        <v>82</v>
      </c>
      <c r="G3" s="1">
        <v>363790</v>
      </c>
      <c r="H3" s="1" t="str">
        <f t="shared" si="1"/>
        <v>363790.0</v>
      </c>
      <c r="I3" s="2">
        <f t="shared" si="3"/>
        <v>363790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9750+57715.94+110178.97+205819.1+22340.07+26880+30489.94+29583.82+17653.84+169246.03+30212.05</f>
        <v>709869.7600000001</v>
      </c>
      <c r="C4" s="1" t="str">
        <f t="shared" si="2"/>
        <v>709869.76</v>
      </c>
      <c r="D4" s="2">
        <f t="shared" si="4"/>
        <v>709869</v>
      </c>
      <c r="E4" s="3" t="str">
        <f t="shared" si="0"/>
        <v>76</v>
      </c>
      <c r="F4" s="5" t="s">
        <v>83</v>
      </c>
      <c r="G4" s="1">
        <v>30212.05</v>
      </c>
      <c r="H4" s="1" t="str">
        <f t="shared" si="1"/>
        <v>30212.05</v>
      </c>
      <c r="I4" s="2">
        <f t="shared" si="3"/>
        <v>30212</v>
      </c>
      <c r="J4" s="3" t="str">
        <f t="shared" si="5"/>
        <v>05</v>
      </c>
    </row>
    <row r="5" spans="1:10" ht="23.25">
      <c r="A5" s="1">
        <f>128509.6+120065+82360+171744+139641+173189+19225+21120+25293+16095+139617</f>
        <v>1036858.6</v>
      </c>
      <c r="C5" s="1" t="str">
        <f t="shared" si="2"/>
        <v>1036858.60</v>
      </c>
      <c r="D5" s="2">
        <f t="shared" si="4"/>
        <v>1036858</v>
      </c>
      <c r="E5" s="3" t="str">
        <f t="shared" si="0"/>
        <v>60</v>
      </c>
      <c r="F5" s="5" t="s">
        <v>84</v>
      </c>
      <c r="G5" s="1">
        <v>139617</v>
      </c>
      <c r="H5" s="1" t="str">
        <f t="shared" si="1"/>
        <v>139617.0</v>
      </c>
      <c r="I5" s="2">
        <f t="shared" si="3"/>
        <v>139617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</f>
        <v>109056177.17</v>
      </c>
      <c r="C6" s="1" t="str">
        <f t="shared" si="2"/>
        <v>109056177.17</v>
      </c>
      <c r="D6" s="2">
        <f t="shared" si="4"/>
        <v>109056177</v>
      </c>
      <c r="E6" s="3" t="str">
        <f t="shared" si="0"/>
        <v>17</v>
      </c>
      <c r="F6" s="5" t="s">
        <v>85</v>
      </c>
      <c r="G6" s="1">
        <v>11156254.64</v>
      </c>
      <c r="H6" s="1" t="str">
        <f t="shared" si="1"/>
        <v>11156254.64</v>
      </c>
      <c r="I6" s="2">
        <f t="shared" si="3"/>
        <v>11156254</v>
      </c>
      <c r="J6" s="3" t="str">
        <f t="shared" si="5"/>
        <v>64</v>
      </c>
      <c r="L6" s="1"/>
    </row>
    <row r="7" spans="1:12" ht="23.25">
      <c r="A7" s="1">
        <f>12691077+12734477+2356003+2012838</f>
        <v>29794395</v>
      </c>
      <c r="B7" s="1" t="s">
        <v>203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91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64"/>
      <c r="L7" s="64">
        <f>SUM(G2:G7)</f>
        <v>12019444.190000001</v>
      </c>
    </row>
    <row r="8" spans="1:11" ht="23.25">
      <c r="A8" s="1">
        <f>7000+10000+4556+5000+7550</f>
        <v>34106</v>
      </c>
      <c r="C8" s="1" t="str">
        <f t="shared" si="2"/>
        <v>34106.0</v>
      </c>
      <c r="D8" s="2">
        <f t="shared" si="4"/>
        <v>34106</v>
      </c>
      <c r="E8" s="3">
        <f t="shared" si="0"/>
        <v>0</v>
      </c>
      <c r="F8" s="5" t="s">
        <v>37</v>
      </c>
      <c r="G8" s="1">
        <v>7550</v>
      </c>
      <c r="H8" s="1" t="str">
        <f t="shared" si="1"/>
        <v>7550.0</v>
      </c>
      <c r="I8" s="2">
        <f t="shared" si="3"/>
        <v>7550</v>
      </c>
      <c r="J8" s="3">
        <f t="shared" si="5"/>
        <v>0</v>
      </c>
      <c r="K8" t="s">
        <v>217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86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</f>
        <v>159500</v>
      </c>
      <c r="C10" s="1" t="str">
        <f t="shared" si="2"/>
        <v>159500.0</v>
      </c>
      <c r="D10" s="2">
        <f t="shared" si="4"/>
        <v>159500</v>
      </c>
      <c r="E10" s="3">
        <f t="shared" si="0"/>
        <v>0</v>
      </c>
      <c r="F10" s="5" t="s">
        <v>87</v>
      </c>
      <c r="G10" s="1">
        <v>24000</v>
      </c>
      <c r="H10" s="1" t="str">
        <f t="shared" si="1"/>
        <v>24000.0</v>
      </c>
      <c r="I10" s="2">
        <f t="shared" si="3"/>
        <v>24000</v>
      </c>
      <c r="J10" s="3">
        <f t="shared" si="5"/>
        <v>0</v>
      </c>
    </row>
    <row r="11" spans="1:10" ht="23.25">
      <c r="A11" s="1">
        <f>315896+128450+1211890+574450+509078+1859920+532210+672550+388502+478772+471400</f>
        <v>7143118</v>
      </c>
      <c r="C11" s="1" t="str">
        <f t="shared" si="2"/>
        <v>7143118.0</v>
      </c>
      <c r="D11" s="2">
        <f t="shared" si="4"/>
        <v>7143118</v>
      </c>
      <c r="E11" s="3">
        <f t="shared" si="0"/>
        <v>0</v>
      </c>
      <c r="F11" s="5" t="s">
        <v>88</v>
      </c>
      <c r="G11" s="59">
        <v>471400</v>
      </c>
      <c r="H11" s="1" t="str">
        <f t="shared" si="1"/>
        <v>471400.0</v>
      </c>
      <c r="I11" s="2">
        <f t="shared" si="3"/>
        <v>471400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4"/>
        <v>17945340</v>
      </c>
      <c r="E12" s="3">
        <f t="shared" si="0"/>
        <v>0</v>
      </c>
      <c r="F12" s="5" t="s">
        <v>89</v>
      </c>
      <c r="H12" s="1" t="str">
        <f t="shared" si="1"/>
        <v>.0</v>
      </c>
      <c r="I12" s="2">
        <f t="shared" si="3"/>
        <v>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4"/>
        <v>45000</v>
      </c>
      <c r="E13" s="3">
        <f>IF(A13-INT(A13)&lt;&gt;0,RIGHT(C13,2),)</f>
        <v>0</v>
      </c>
      <c r="F13" s="5" t="s">
        <v>169</v>
      </c>
      <c r="H13" s="1" t="str">
        <f t="shared" si="1"/>
        <v>.0</v>
      </c>
      <c r="I13" s="2">
        <f t="shared" si="3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67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</f>
        <v>15942517.79</v>
      </c>
      <c r="C15" s="1" t="str">
        <f t="shared" si="2"/>
        <v>15942517.79</v>
      </c>
      <c r="D15" s="2">
        <f t="shared" si="4"/>
        <v>15942517</v>
      </c>
      <c r="E15" s="3" t="str">
        <f t="shared" si="0"/>
        <v>79</v>
      </c>
      <c r="F15" s="5" t="s">
        <v>11</v>
      </c>
      <c r="G15" s="1">
        <v>989612.69</v>
      </c>
      <c r="H15" s="1" t="str">
        <f>TEXT(G15,"#.#0")</f>
        <v>989612.69</v>
      </c>
      <c r="I15" s="2">
        <f t="shared" si="3"/>
        <v>989612</v>
      </c>
      <c r="J15" s="3" t="str">
        <f>IF(G15-INT(G15)&lt;&gt;0,RIGHT(H15,2),)</f>
        <v>69</v>
      </c>
    </row>
    <row r="16" spans="1:10" ht="23.25">
      <c r="A16" s="1">
        <f>13888+75000+67020+220+121600+7600</f>
        <v>285328</v>
      </c>
      <c r="C16" s="1" t="str">
        <f t="shared" si="2"/>
        <v>285328.0</v>
      </c>
      <c r="D16" s="2">
        <f t="shared" si="4"/>
        <v>285328</v>
      </c>
      <c r="E16" s="3">
        <f t="shared" si="0"/>
        <v>0</v>
      </c>
      <c r="F16" s="8" t="s">
        <v>12</v>
      </c>
      <c r="G16" s="1">
        <v>7600</v>
      </c>
      <c r="H16" s="1" t="str">
        <f t="shared" si="1"/>
        <v>7600.0</v>
      </c>
      <c r="I16" s="2">
        <f t="shared" si="3"/>
        <v>7600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4"/>
        <v>0</v>
      </c>
      <c r="E17" s="3">
        <f>IF(A17-INT(A17)&lt;&gt;0,RIGHT(C17,2),)</f>
        <v>0</v>
      </c>
      <c r="F17" s="8" t="s">
        <v>125</v>
      </c>
      <c r="H17" s="1" t="str">
        <f t="shared" si="1"/>
        <v>.0</v>
      </c>
      <c r="I17" s="2">
        <f t="shared" si="3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4"/>
        <v>0</v>
      </c>
      <c r="E18" s="3">
        <f>IF(A18-INT(A18)&lt;&gt;0,RIGHT(C18,2),)</f>
        <v>0</v>
      </c>
      <c r="F18" s="8" t="s">
        <v>143</v>
      </c>
      <c r="G18" s="1">
        <v>0</v>
      </c>
      <c r="H18" s="1" t="str">
        <f t="shared" si="1"/>
        <v>.0</v>
      </c>
      <c r="I18" s="2">
        <f t="shared" si="3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4"/>
        <v>8400</v>
      </c>
      <c r="E19" s="3">
        <f t="shared" si="0"/>
        <v>0</v>
      </c>
      <c r="F19" s="8" t="s">
        <v>130</v>
      </c>
      <c r="G19" s="1">
        <v>0</v>
      </c>
      <c r="H19" s="1" t="str">
        <f t="shared" si="1"/>
        <v>.0</v>
      </c>
      <c r="I19" s="2">
        <f t="shared" si="3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4"/>
        <v>0</v>
      </c>
      <c r="E20" s="3">
        <f>IF(A20-INT(A20)&lt;&gt;0,RIGHT(C20,2),)</f>
        <v>0</v>
      </c>
      <c r="F20" s="8" t="s">
        <v>152</v>
      </c>
      <c r="H20" s="1" t="str">
        <f t="shared" si="1"/>
        <v>.0</v>
      </c>
      <c r="I20" s="2">
        <f t="shared" si="3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4"/>
        <v>0</v>
      </c>
      <c r="E21" s="3">
        <f t="shared" si="0"/>
        <v>0</v>
      </c>
      <c r="F21" s="8" t="s">
        <v>131</v>
      </c>
      <c r="H21" s="1" t="str">
        <f t="shared" si="1"/>
        <v>.0</v>
      </c>
      <c r="I21" s="2">
        <f t="shared" si="3"/>
        <v>0</v>
      </c>
      <c r="J21" s="3">
        <f t="shared" si="5"/>
        <v>0</v>
      </c>
    </row>
    <row r="22" spans="1:10" ht="23.25">
      <c r="A22" s="1">
        <f>6205100+40100+4103600+33100+4001100+1354600+7138900+46000+54400</f>
        <v>22976900</v>
      </c>
      <c r="C22" s="1" t="str">
        <f>TEXT(A22,"#.#0")</f>
        <v>22976900.0</v>
      </c>
      <c r="D22" s="2">
        <f t="shared" si="4"/>
        <v>22976900</v>
      </c>
      <c r="E22" s="3">
        <f>IF(A22-INT(A22)&lt;&gt;0,RIGHT(C22,2),)</f>
        <v>0</v>
      </c>
      <c r="F22" s="8" t="s">
        <v>184</v>
      </c>
      <c r="G22" s="1">
        <v>54400</v>
      </c>
      <c r="H22" s="1" t="str">
        <f t="shared" si="1"/>
        <v>54400.0</v>
      </c>
      <c r="I22" s="2">
        <f t="shared" si="3"/>
        <v>54400</v>
      </c>
      <c r="J22" s="3">
        <f>IF(G22-INT(G22)&lt;&gt;0,RIGHT(H22,2),)</f>
        <v>0</v>
      </c>
    </row>
    <row r="23" spans="1:10" ht="23.25">
      <c r="A23" s="1">
        <f>984800+4000+979200+6400+5600+326400+164000+1221600+136000+58400</f>
        <v>3886400</v>
      </c>
      <c r="C23" s="1" t="str">
        <f>TEXT(A23,"#.#0")</f>
        <v>3886400.0</v>
      </c>
      <c r="D23" s="2">
        <f t="shared" si="4"/>
        <v>3886400</v>
      </c>
      <c r="E23" s="3">
        <f>IF(A23-INT(A23)&lt;&gt;0,RIGHT(C23,2),)</f>
        <v>0</v>
      </c>
      <c r="F23" s="8" t="s">
        <v>185</v>
      </c>
      <c r="G23" s="1">
        <v>58400</v>
      </c>
      <c r="H23" s="1" t="str">
        <f t="shared" si="1"/>
        <v>58400.0</v>
      </c>
      <c r="I23" s="2">
        <f t="shared" si="3"/>
        <v>58400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4"/>
        <v>632870</v>
      </c>
      <c r="E24" s="3">
        <f t="shared" si="0"/>
        <v>0</v>
      </c>
      <c r="F24" s="8" t="s">
        <v>186</v>
      </c>
      <c r="G24" s="1">
        <v>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4"/>
        <v>428900</v>
      </c>
      <c r="E25" s="3">
        <f t="shared" si="0"/>
        <v>0</v>
      </c>
      <c r="F25" s="8" t="s">
        <v>187</v>
      </c>
      <c r="G25" s="1">
        <v>0</v>
      </c>
      <c r="H25" s="1" t="str">
        <f t="shared" si="1"/>
        <v>.0</v>
      </c>
      <c r="I25" s="2">
        <f t="shared" si="3"/>
        <v>0</v>
      </c>
      <c r="J25" s="3">
        <f aca="true" t="shared" si="6" ref="J25:J38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4"/>
        <v>26395</v>
      </c>
      <c r="E26" s="3">
        <f t="shared" si="0"/>
        <v>0</v>
      </c>
      <c r="F26" s="8" t="s">
        <v>188</v>
      </c>
      <c r="G26" s="1">
        <v>0</v>
      </c>
      <c r="H26" s="1" t="str">
        <f t="shared" si="1"/>
        <v>.0</v>
      </c>
      <c r="I26" s="2">
        <f t="shared" si="3"/>
        <v>0</v>
      </c>
      <c r="J26" s="3">
        <f t="shared" si="6"/>
        <v>0</v>
      </c>
    </row>
    <row r="27" spans="1:10" ht="23.25">
      <c r="A27" s="1">
        <f>30000+20000+22000+6000</f>
        <v>78000</v>
      </c>
      <c r="C27" s="1" t="str">
        <f t="shared" si="2"/>
        <v>78000.0</v>
      </c>
      <c r="D27" s="2">
        <f t="shared" si="4"/>
        <v>78000</v>
      </c>
      <c r="E27" s="3">
        <f t="shared" si="0"/>
        <v>0</v>
      </c>
      <c r="F27" s="8" t="s">
        <v>189</v>
      </c>
      <c r="G27" s="1">
        <v>0</v>
      </c>
      <c r="H27" s="1" t="str">
        <f t="shared" si="1"/>
        <v>.0</v>
      </c>
      <c r="I27" s="2">
        <f t="shared" si="3"/>
        <v>0</v>
      </c>
      <c r="J27" s="3">
        <f t="shared" si="6"/>
        <v>0</v>
      </c>
    </row>
    <row r="28" spans="1:10" ht="23.25">
      <c r="A28" s="1">
        <v>6030000</v>
      </c>
      <c r="C28" s="1" t="str">
        <f t="shared" si="2"/>
        <v>6030000.0</v>
      </c>
      <c r="D28" s="2">
        <f t="shared" si="4"/>
        <v>6030000</v>
      </c>
      <c r="E28" s="3"/>
      <c r="F28" s="8" t="s">
        <v>228</v>
      </c>
      <c r="G28" s="1">
        <v>6030000</v>
      </c>
      <c r="H28" s="1"/>
      <c r="I28" s="2"/>
      <c r="J28" s="3"/>
    </row>
    <row r="29" spans="1:10" ht="23.25">
      <c r="A29" s="1">
        <f>11512+2725</f>
        <v>14237</v>
      </c>
      <c r="C29" s="1" t="str">
        <f>TEXT(A29,"#.#0")</f>
        <v>14237.0</v>
      </c>
      <c r="D29" s="2">
        <f t="shared" si="4"/>
        <v>14237</v>
      </c>
      <c r="E29" s="3">
        <f>IF(A29-INT(A29)&lt;&gt;0,RIGHT(C29,2),)</f>
        <v>0</v>
      </c>
      <c r="F29" s="8" t="s">
        <v>193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230238.72+54500</f>
        <v>284738.72</v>
      </c>
      <c r="C30" s="1" t="str">
        <f>TEXT(A30,"#.#0")</f>
        <v>284738.72</v>
      </c>
      <c r="D30" s="2">
        <f t="shared" si="4"/>
        <v>284738</v>
      </c>
      <c r="E30" s="3" t="str">
        <f>IF(A30-INT(A30)&lt;&gt;0,RIGHT(C30,2),)</f>
        <v>72</v>
      </c>
      <c r="F30" s="8" t="s">
        <v>132</v>
      </c>
      <c r="H30" s="1" t="str">
        <f t="shared" si="1"/>
        <v>.0</v>
      </c>
      <c r="I30" s="2">
        <f t="shared" si="3"/>
        <v>0</v>
      </c>
      <c r="J30" s="3">
        <f>IF(G30-INT(G30)&lt;&gt;0,RIGHT(H30,2),)</f>
        <v>0</v>
      </c>
    </row>
    <row r="31" spans="1:10" ht="23.25">
      <c r="A31" s="1">
        <f>3000</f>
        <v>3000</v>
      </c>
      <c r="C31" s="1" t="str">
        <f aca="true" t="shared" si="7" ref="C31:C47">TEXT(A31,"#.#0")</f>
        <v>3000.0</v>
      </c>
      <c r="D31" s="2">
        <f aca="true" t="shared" si="8" ref="D31:D51">INT(C31)</f>
        <v>3000</v>
      </c>
      <c r="E31" s="3">
        <f t="shared" si="0"/>
        <v>0</v>
      </c>
      <c r="F31" s="8" t="s">
        <v>133</v>
      </c>
      <c r="H31" s="1" t="str">
        <f aca="true" t="shared" si="9" ref="H31:H51">TEXT(G31,"#.#0")</f>
        <v>.0</v>
      </c>
      <c r="I31" s="2">
        <f aca="true" t="shared" si="10" ref="I31:I51">INT(H31)</f>
        <v>0</v>
      </c>
      <c r="J31" s="3">
        <f t="shared" si="6"/>
        <v>0</v>
      </c>
    </row>
    <row r="32" spans="1:10" ht="23.25">
      <c r="A32" s="1">
        <v>66310</v>
      </c>
      <c r="C32" s="1" t="str">
        <f t="shared" si="7"/>
        <v>66310.0</v>
      </c>
      <c r="D32" s="2">
        <f t="shared" si="8"/>
        <v>66310</v>
      </c>
      <c r="E32" s="3">
        <f t="shared" si="0"/>
        <v>0</v>
      </c>
      <c r="F32" s="8" t="s">
        <v>134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5938</v>
      </c>
      <c r="C33" s="1" t="str">
        <f>TEXT(A33,"#.#0")</f>
        <v>5938.0</v>
      </c>
      <c r="D33" s="2">
        <f t="shared" si="8"/>
        <v>5938</v>
      </c>
      <c r="E33" s="3">
        <f>IF(A33-INT(A33)&lt;&gt;0,RIGHT(C33,2),)</f>
        <v>0</v>
      </c>
      <c r="F33" s="8" t="s">
        <v>155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v>49061</v>
      </c>
      <c r="C34" s="1" t="str">
        <f>TEXT(A34,"#.#0")</f>
        <v>49061.0</v>
      </c>
      <c r="D34" s="2">
        <f t="shared" si="8"/>
        <v>49061</v>
      </c>
      <c r="E34" s="3">
        <f>IF(A34-INT(A34)&lt;&gt;0,RIGHT(C34,2),)</f>
        <v>0</v>
      </c>
      <c r="F34" s="8" t="s">
        <v>135</v>
      </c>
      <c r="H34" s="1" t="str">
        <f t="shared" si="9"/>
        <v>.0</v>
      </c>
      <c r="I34" s="2">
        <f t="shared" si="10"/>
        <v>0</v>
      </c>
      <c r="J34" s="3">
        <f>IF(G34-INT(G34)&lt;&gt;0,RIGHT(H34,2),)</f>
        <v>0</v>
      </c>
    </row>
    <row r="35" spans="1:10" ht="23.25">
      <c r="A35" s="1">
        <f>94500+135000</f>
        <v>229500</v>
      </c>
      <c r="C35" s="1" t="str">
        <f>TEXT(A35,"#.#0")</f>
        <v>229500.0</v>
      </c>
      <c r="D35" s="2">
        <f t="shared" si="8"/>
        <v>229500</v>
      </c>
      <c r="E35" s="3">
        <f>IF(A35-INT(A35)&lt;&gt;0,RIGHT(C35,2),)</f>
        <v>0</v>
      </c>
      <c r="F35" s="8" t="s">
        <v>190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14085</v>
      </c>
      <c r="C36" s="1" t="str">
        <f t="shared" si="7"/>
        <v>14085.0</v>
      </c>
      <c r="D36" s="2">
        <f t="shared" si="8"/>
        <v>14085</v>
      </c>
      <c r="E36" s="3">
        <f t="shared" si="0"/>
        <v>0</v>
      </c>
      <c r="F36" s="8" t="s">
        <v>136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3422</v>
      </c>
      <c r="C37" s="1" t="str">
        <f>TEXT(A37,"#.#0")</f>
        <v>3422.0</v>
      </c>
      <c r="D37" s="2">
        <f t="shared" si="8"/>
        <v>3422</v>
      </c>
      <c r="E37" s="3">
        <f>IF(A37-INT(A37)&lt;&gt;0,RIGHT(C37,2),)</f>
        <v>0</v>
      </c>
      <c r="F37" s="8" t="s">
        <v>156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51361</v>
      </c>
      <c r="C38" s="1" t="str">
        <f t="shared" si="7"/>
        <v>51361.0</v>
      </c>
      <c r="D38" s="2">
        <f t="shared" si="8"/>
        <v>51361</v>
      </c>
      <c r="E38" s="3">
        <f t="shared" si="0"/>
        <v>0</v>
      </c>
      <c r="F38" s="8" t="s">
        <v>137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18000</v>
      </c>
      <c r="C39" s="1" t="str">
        <f t="shared" si="7"/>
        <v>18000.0</v>
      </c>
      <c r="D39" s="2">
        <f t="shared" si="8"/>
        <v>18000</v>
      </c>
      <c r="E39" s="3">
        <f t="shared" si="0"/>
        <v>0</v>
      </c>
      <c r="F39" s="8" t="s">
        <v>138</v>
      </c>
      <c r="H39" s="1" t="str">
        <f t="shared" si="9"/>
        <v>.0</v>
      </c>
      <c r="I39" s="2">
        <f t="shared" si="10"/>
        <v>0</v>
      </c>
      <c r="J39" s="3">
        <f aca="true" t="shared" si="11" ref="J39:J47">IF(G39-INT(G39)&lt;&gt;0,RIGHT(H39,2),)</f>
        <v>0</v>
      </c>
    </row>
    <row r="40" spans="1:10" ht="23.25">
      <c r="A40" s="1">
        <v>1427</v>
      </c>
      <c r="C40" s="1" t="str">
        <f>TEXT(A40,"#.#0")</f>
        <v>1427.0</v>
      </c>
      <c r="D40" s="2">
        <f t="shared" si="8"/>
        <v>1427</v>
      </c>
      <c r="E40" s="3">
        <f>IF(A40-INT(A40)&lt;&gt;0,RIGHT(C40,2),)</f>
        <v>0</v>
      </c>
      <c r="F40" s="8" t="s">
        <v>157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37505</v>
      </c>
      <c r="C41" s="1" t="str">
        <f t="shared" si="7"/>
        <v>37505.0</v>
      </c>
      <c r="D41" s="2">
        <f t="shared" si="8"/>
        <v>37505</v>
      </c>
      <c r="E41" s="3">
        <f t="shared" si="0"/>
        <v>0</v>
      </c>
      <c r="F41" s="8" t="s">
        <v>146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1:10" ht="23.25">
      <c r="A42" s="1">
        <v>36132</v>
      </c>
      <c r="C42" s="1" t="str">
        <f>TEXT(A42,"#.#0")</f>
        <v>36132.0</v>
      </c>
      <c r="D42" s="2">
        <f t="shared" si="8"/>
        <v>36132</v>
      </c>
      <c r="E42" s="3">
        <f>IF(A42-INT(A42)&lt;&gt;0,RIGHT(C42,2),)</f>
        <v>0</v>
      </c>
      <c r="F42" s="8" t="s">
        <v>151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7070</v>
      </c>
      <c r="C43" s="1" t="str">
        <f>TEXT(A43,"#.#0")</f>
        <v>7070.0</v>
      </c>
      <c r="D43" s="2">
        <f t="shared" si="8"/>
        <v>7070</v>
      </c>
      <c r="E43" s="3">
        <f>IF(A43-INT(A43)&lt;&gt;0,RIGHT(C43,2),)</f>
        <v>0</v>
      </c>
      <c r="F43" s="8" t="s">
        <v>153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8580</v>
      </c>
      <c r="C44" s="1" t="str">
        <f t="shared" si="7"/>
        <v>8580.0</v>
      </c>
      <c r="D44" s="2">
        <f t="shared" si="8"/>
        <v>8580</v>
      </c>
      <c r="E44" s="3">
        <f t="shared" si="0"/>
        <v>0</v>
      </c>
      <c r="F44" s="8" t="s">
        <v>195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139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140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3:10" ht="23.25">
      <c r="C47" s="1" t="str">
        <f t="shared" si="7"/>
        <v>.0</v>
      </c>
      <c r="D47" s="2">
        <f t="shared" si="8"/>
        <v>0</v>
      </c>
      <c r="E47" s="3">
        <f t="shared" si="0"/>
        <v>0</v>
      </c>
      <c r="F47" s="8" t="s">
        <v>141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1:10" ht="23.25">
      <c r="A48" s="1">
        <f>12000+12000+12000+4000</f>
        <v>40000</v>
      </c>
      <c r="C48" s="1" t="str">
        <f>TEXT(A48,"#.#0")</f>
        <v>40000.0</v>
      </c>
      <c r="D48" s="2">
        <f t="shared" si="8"/>
        <v>40000</v>
      </c>
      <c r="E48" s="3">
        <f>IF(A48-INT(A48)&lt;&gt;0,RIGHT(C48,2),)</f>
        <v>0</v>
      </c>
      <c r="F48" s="8" t="s">
        <v>191</v>
      </c>
      <c r="H48" s="1" t="str">
        <f t="shared" si="9"/>
        <v>.0</v>
      </c>
      <c r="I48" s="2">
        <f t="shared" si="10"/>
        <v>0</v>
      </c>
      <c r="J48" s="3">
        <f aca="true" t="shared" si="12" ref="J48:J55">IF(G48-INT(G48)&lt;&gt;0,RIGHT(H48,2),)</f>
        <v>0</v>
      </c>
    </row>
    <row r="49" spans="1:10" ht="23.25">
      <c r="A49" s="1">
        <v>10500</v>
      </c>
      <c r="C49" s="1" t="str">
        <f>TEXT(A49,"#.#0")</f>
        <v>10500.0</v>
      </c>
      <c r="D49" s="2">
        <f t="shared" si="8"/>
        <v>10500</v>
      </c>
      <c r="E49" s="3">
        <f>IF(A49-INT(A49)&lt;&gt;0,RIGHT(C49,2),)</f>
        <v>0</v>
      </c>
      <c r="F49" s="8" t="s">
        <v>196</v>
      </c>
      <c r="H49" s="1" t="str">
        <f t="shared" si="9"/>
        <v>.0</v>
      </c>
      <c r="I49" s="2">
        <f t="shared" si="10"/>
        <v>0</v>
      </c>
      <c r="J49" s="3">
        <f t="shared" si="12"/>
        <v>0</v>
      </c>
    </row>
    <row r="50" spans="1:10" ht="23.25">
      <c r="A50" s="1">
        <v>34200</v>
      </c>
      <c r="C50" s="1" t="str">
        <f>TEXT(A50,"#.#0")</f>
        <v>34200.0</v>
      </c>
      <c r="D50" s="2">
        <f t="shared" si="8"/>
        <v>34200</v>
      </c>
      <c r="E50" s="3">
        <f>IF(A50-INT(A50)&lt;&gt;0,RIGHT(C50,2),)</f>
        <v>0</v>
      </c>
      <c r="F50" s="8" t="s">
        <v>198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1:10" ht="23.25">
      <c r="A51" s="1">
        <v>1710</v>
      </c>
      <c r="C51" s="1" t="str">
        <f>TEXT(A51,"#.#0")</f>
        <v>1710.0</v>
      </c>
      <c r="D51" s="2">
        <f t="shared" si="8"/>
        <v>1710</v>
      </c>
      <c r="E51" s="3">
        <f>IF(A51-INT(A51)&lt;&gt;0,RIGHT(C51,2),)</f>
        <v>0</v>
      </c>
      <c r="F51" s="8" t="s">
        <v>199</v>
      </c>
      <c r="H51" s="1" t="str">
        <f t="shared" si="9"/>
        <v>.0</v>
      </c>
      <c r="I51" s="2">
        <f t="shared" si="10"/>
        <v>0</v>
      </c>
      <c r="J51" s="3">
        <f>IF(G51-INT(G51)&lt;&gt;0,RIGHT(H51,2),)</f>
        <v>0</v>
      </c>
    </row>
    <row r="52" spans="3:10" ht="23.25">
      <c r="C52" s="1" t="str">
        <f t="shared" si="2"/>
        <v>.0</v>
      </c>
      <c r="D52" s="2">
        <f t="shared" si="4"/>
        <v>0</v>
      </c>
      <c r="E52" s="3">
        <f t="shared" si="0"/>
        <v>0</v>
      </c>
      <c r="F52" s="8" t="s">
        <v>105</v>
      </c>
      <c r="H52" s="1" t="str">
        <f t="shared" si="1"/>
        <v>.0</v>
      </c>
      <c r="I52" s="2">
        <f t="shared" si="3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4"/>
        <v>0</v>
      </c>
      <c r="E53" s="58">
        <f t="shared" si="0"/>
        <v>0</v>
      </c>
      <c r="F53" s="57" t="s">
        <v>77</v>
      </c>
      <c r="H53" s="1" t="str">
        <f t="shared" si="1"/>
        <v>.0</v>
      </c>
      <c r="I53" s="2">
        <f t="shared" si="3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4"/>
        <v>0</v>
      </c>
      <c r="E54" s="58">
        <f t="shared" si="0"/>
        <v>0</v>
      </c>
      <c r="F54" s="57" t="s">
        <v>21</v>
      </c>
      <c r="H54" s="1" t="str">
        <f t="shared" si="1"/>
        <v>.0</v>
      </c>
      <c r="I54" s="2">
        <f t="shared" si="3"/>
        <v>0</v>
      </c>
      <c r="J54" s="3">
        <f t="shared" si="12"/>
        <v>0</v>
      </c>
    </row>
    <row r="55" spans="3:10" ht="23.25">
      <c r="C55" s="1" t="str">
        <f t="shared" si="2"/>
        <v>.0</v>
      </c>
      <c r="D55" s="2">
        <f t="shared" si="4"/>
        <v>0</v>
      </c>
      <c r="E55" s="58">
        <f t="shared" si="0"/>
        <v>0</v>
      </c>
      <c r="F55" s="57" t="s">
        <v>172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f>500+500+1000+500+500+500+1000+500+1000</f>
        <v>6000</v>
      </c>
      <c r="C56" s="1" t="str">
        <f t="shared" si="2"/>
        <v>6000.0</v>
      </c>
      <c r="D56" s="2">
        <f t="shared" si="4"/>
        <v>6000</v>
      </c>
      <c r="E56" s="58">
        <f t="shared" si="0"/>
        <v>0</v>
      </c>
      <c r="F56" s="57" t="s">
        <v>14</v>
      </c>
      <c r="G56" s="1">
        <v>1000</v>
      </c>
      <c r="H56" s="1" t="str">
        <f t="shared" si="1"/>
        <v>1000.0</v>
      </c>
      <c r="I56" s="2">
        <f t="shared" si="3"/>
        <v>1000</v>
      </c>
      <c r="J56" s="3">
        <f aca="true" t="shared" si="13" ref="J56:J65">IF(G56-INT(G56)&lt;&gt;0,RIGHT(H56,2),)</f>
        <v>0</v>
      </c>
    </row>
    <row r="57" spans="1:10" ht="23.25">
      <c r="A57" s="1">
        <f>1450+2320+396.8</f>
        <v>4166.8</v>
      </c>
      <c r="C57" s="1" t="str">
        <f t="shared" si="2"/>
        <v>4166.80</v>
      </c>
      <c r="D57" s="2">
        <f t="shared" si="4"/>
        <v>4166</v>
      </c>
      <c r="E57" s="58" t="str">
        <f t="shared" si="0"/>
        <v>80</v>
      </c>
      <c r="F57" s="57" t="s">
        <v>167</v>
      </c>
      <c r="G57" s="1">
        <v>396.8</v>
      </c>
      <c r="H57" s="1" t="str">
        <f t="shared" si="1"/>
        <v>396.80</v>
      </c>
      <c r="I57" s="2">
        <f t="shared" si="3"/>
        <v>396</v>
      </c>
      <c r="J57" s="3" t="str">
        <f t="shared" si="13"/>
        <v>80</v>
      </c>
    </row>
    <row r="58" spans="1:10" ht="23.25">
      <c r="A58" s="1">
        <v>10525.17</v>
      </c>
      <c r="C58" s="1"/>
      <c r="D58" s="2"/>
      <c r="E58" s="58"/>
      <c r="F58" s="57" t="s">
        <v>165</v>
      </c>
      <c r="H58" s="1"/>
      <c r="I58" s="2"/>
      <c r="J58" s="3"/>
    </row>
    <row r="59" spans="1:10" ht="23.25">
      <c r="A59" s="1">
        <v>42952.27</v>
      </c>
      <c r="C59" s="1" t="str">
        <f t="shared" si="2"/>
        <v>42952.27</v>
      </c>
      <c r="D59" s="2">
        <f t="shared" si="4"/>
        <v>42952</v>
      </c>
      <c r="E59" s="58" t="str">
        <f t="shared" si="0"/>
        <v>27</v>
      </c>
      <c r="F59" s="57" t="s">
        <v>120</v>
      </c>
      <c r="G59" s="1">
        <v>0</v>
      </c>
      <c r="H59" s="1" t="str">
        <f t="shared" si="1"/>
        <v>.0</v>
      </c>
      <c r="I59" s="2">
        <f t="shared" si="3"/>
        <v>0</v>
      </c>
      <c r="J59" s="3">
        <f t="shared" si="13"/>
        <v>0</v>
      </c>
    </row>
    <row r="60" spans="3:10" ht="23.25">
      <c r="C60" s="1" t="str">
        <f t="shared" si="2"/>
        <v>.0</v>
      </c>
      <c r="D60" s="2">
        <f t="shared" si="4"/>
        <v>0</v>
      </c>
      <c r="E60" s="58">
        <f t="shared" si="0"/>
        <v>0</v>
      </c>
      <c r="F60" s="57" t="s">
        <v>15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f>84500+2433.18+8135</f>
        <v>95068.18</v>
      </c>
      <c r="C61" s="1" t="str">
        <f t="shared" si="2"/>
        <v>95068.18</v>
      </c>
      <c r="D61" s="2">
        <f t="shared" si="4"/>
        <v>95068</v>
      </c>
      <c r="E61" s="58" t="str">
        <f t="shared" si="0"/>
        <v>18</v>
      </c>
      <c r="F61" s="57" t="s">
        <v>16</v>
      </c>
      <c r="G61" s="1">
        <v>8135</v>
      </c>
      <c r="H61" s="1" t="str">
        <f t="shared" si="1"/>
        <v>8135.0</v>
      </c>
      <c r="I61" s="2">
        <f t="shared" si="3"/>
        <v>8135</v>
      </c>
      <c r="J61" s="3">
        <f t="shared" si="13"/>
        <v>0</v>
      </c>
    </row>
    <row r="62" spans="1:10" ht="23.25">
      <c r="A62" s="1">
        <f>3781+143647.55+135</f>
        <v>147563.55</v>
      </c>
      <c r="C62" s="1" t="str">
        <f t="shared" si="2"/>
        <v>147563.55</v>
      </c>
      <c r="D62" s="2">
        <f t="shared" si="4"/>
        <v>147563</v>
      </c>
      <c r="E62" s="58" t="str">
        <f t="shared" si="0"/>
        <v>55</v>
      </c>
      <c r="F62" s="57" t="s">
        <v>18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1:10" ht="23.25">
      <c r="A63" s="1">
        <v>7500</v>
      </c>
      <c r="C63" s="1" t="str">
        <f>TEXT(A63,"#.#0")</f>
        <v>7500.0</v>
      </c>
      <c r="D63" s="2">
        <f t="shared" si="4"/>
        <v>7500</v>
      </c>
      <c r="E63" s="58">
        <f>IF(A63-INT(A63)&lt;&gt;0,RIGHT(C63,2),)</f>
        <v>0</v>
      </c>
      <c r="F63" s="57" t="s">
        <v>10</v>
      </c>
      <c r="G63" s="1">
        <v>7500</v>
      </c>
      <c r="H63" s="1" t="str">
        <f t="shared" si="1"/>
        <v>7500.0</v>
      </c>
      <c r="I63" s="2">
        <f t="shared" si="3"/>
        <v>7500</v>
      </c>
      <c r="J63" s="3">
        <f>IF(G63-INT(G63)&lt;&gt;0,RIGHT(H63,2),)</f>
        <v>0</v>
      </c>
    </row>
    <row r="64" spans="3:10" ht="23.25">
      <c r="C64" s="1" t="str">
        <f t="shared" si="2"/>
        <v>.0</v>
      </c>
      <c r="D64" s="2">
        <f t="shared" si="4"/>
        <v>0</v>
      </c>
      <c r="E64" s="58">
        <f t="shared" si="0"/>
        <v>0</v>
      </c>
      <c r="F64" s="57" t="s">
        <v>95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3:10" ht="23.25">
      <c r="C65" s="1"/>
      <c r="D65" s="2"/>
      <c r="E65" s="3"/>
      <c r="F65" s="33"/>
      <c r="H65" s="1" t="str">
        <f t="shared" si="1"/>
        <v>.0</v>
      </c>
      <c r="I65" s="2">
        <f t="shared" si="3"/>
        <v>0</v>
      </c>
      <c r="J65" s="3">
        <f t="shared" si="13"/>
        <v>0</v>
      </c>
    </row>
    <row r="66" spans="3:10" ht="23.25">
      <c r="C66" s="1"/>
      <c r="D66" s="2"/>
      <c r="E66" s="3"/>
      <c r="F66" s="33"/>
      <c r="H66" s="1"/>
      <c r="I66" s="2"/>
      <c r="J66" s="3"/>
    </row>
    <row r="67" spans="3:10" ht="23.25">
      <c r="C67" s="1"/>
      <c r="D67" s="2"/>
      <c r="E67" s="3"/>
      <c r="F67" s="33"/>
      <c r="H67" s="1"/>
      <c r="I67" s="2"/>
      <c r="J67" s="3"/>
    </row>
    <row r="68" spans="1:10" ht="23.25">
      <c r="A68" s="1">
        <f>SUM(A2:A67)</f>
        <v>233052682.39000002</v>
      </c>
      <c r="C68" s="1" t="str">
        <f t="shared" si="2"/>
        <v>233052682.39</v>
      </c>
      <c r="D68" s="2">
        <f t="shared" si="4"/>
        <v>233052682</v>
      </c>
      <c r="E68" s="3" t="str">
        <f>IF(A68-INT(A68)&lt;&gt;0,RIGHT(C68,2),)</f>
        <v>39</v>
      </c>
      <c r="F68" s="55" t="s">
        <v>25</v>
      </c>
      <c r="G68" s="1">
        <f>SUM(G2:G67)</f>
        <v>19679438.680000003</v>
      </c>
      <c r="H68" s="1" t="str">
        <f>TEXT(G68,"#.#0")</f>
        <v>19679438.68</v>
      </c>
      <c r="I68" s="2">
        <f t="shared" si="3"/>
        <v>19679438</v>
      </c>
      <c r="J68" s="3" t="str">
        <f>IF(G68-INT(G68)&lt;&gt;0,RIGHT(H68,2),)</f>
        <v>68</v>
      </c>
    </row>
    <row r="69" spans="3:10" ht="23.25">
      <c r="C69" s="1"/>
      <c r="D69" s="2"/>
      <c r="E69" s="3"/>
      <c r="H69" s="1" t="str">
        <f aca="true" t="shared" si="14" ref="H69:H138">TEXT(G69,"#.#0")</f>
        <v>.0</v>
      </c>
      <c r="I69" s="2"/>
      <c r="J69" s="3"/>
    </row>
    <row r="70" spans="1:13" ht="23.25">
      <c r="A70" s="1">
        <f>88141.97+440557.09+2975898.18+336760.83+927635.04+357540.86+303025.96+305400.49+303113.54+282602.21+4906325.39</f>
        <v>11227001.56</v>
      </c>
      <c r="C70" s="1" t="str">
        <f t="shared" si="2"/>
        <v>11227001.56</v>
      </c>
      <c r="D70" s="2">
        <f t="shared" si="4"/>
        <v>11227001</v>
      </c>
      <c r="E70" s="3" t="str">
        <f aca="true" t="shared" si="15" ref="E70:E110">IF(A70-INT(A70)&lt;&gt;0,RIGHT(C70,2),)</f>
        <v>56</v>
      </c>
      <c r="F70" s="7" t="s">
        <v>14</v>
      </c>
      <c r="G70" s="1">
        <v>4906325.39</v>
      </c>
      <c r="H70" s="1" t="str">
        <f t="shared" si="14"/>
        <v>4906325.39</v>
      </c>
      <c r="I70" s="2">
        <f t="shared" si="3"/>
        <v>4906325</v>
      </c>
      <c r="J70" s="3" t="str">
        <f>IF(G70-INT(G70)&lt;&gt;0,RIGHT(H70,2),)</f>
        <v>39</v>
      </c>
      <c r="K70" t="s">
        <v>220</v>
      </c>
      <c r="M70" s="1"/>
    </row>
    <row r="71" spans="1:13" ht="23.25">
      <c r="A71" s="1">
        <f>353160+353160+340458.39+337410+337410+337410+337410+337410+170970+170970+170970</f>
        <v>3246738.39</v>
      </c>
      <c r="C71" s="1" t="str">
        <f t="shared" si="2"/>
        <v>3246738.39</v>
      </c>
      <c r="D71" s="2">
        <f t="shared" si="4"/>
        <v>3246738</v>
      </c>
      <c r="E71" s="3" t="str">
        <f t="shared" si="15"/>
        <v>39</v>
      </c>
      <c r="F71" s="7" t="s">
        <v>120</v>
      </c>
      <c r="G71" s="1">
        <v>170970</v>
      </c>
      <c r="H71" s="1" t="str">
        <f t="shared" si="14"/>
        <v>170970.0</v>
      </c>
      <c r="I71" s="2">
        <f t="shared" si="3"/>
        <v>170970</v>
      </c>
      <c r="J71" s="3">
        <f aca="true" t="shared" si="16" ref="J71:J110">IF(G71-INT(G71)&lt;&gt;0,RIGHT(H71,2),)</f>
        <v>0</v>
      </c>
      <c r="M71" s="1"/>
    </row>
    <row r="72" spans="1:13" ht="23.25">
      <c r="A72" s="1">
        <f>1654379.03+1775574.2+1745690.62+1828218.71+1821600+1834699.85+1863410+1893631.29+1947845.72+2003968+1967334.52</f>
        <v>20336351.94</v>
      </c>
      <c r="C72" s="1" t="str">
        <f t="shared" si="2"/>
        <v>20336351.94</v>
      </c>
      <c r="D72" s="2">
        <f t="shared" si="4"/>
        <v>20336351</v>
      </c>
      <c r="E72" s="3" t="str">
        <f t="shared" si="15"/>
        <v>94</v>
      </c>
      <c r="F72" s="7" t="s">
        <v>165</v>
      </c>
      <c r="G72" s="1">
        <v>1967334.52</v>
      </c>
      <c r="H72" s="1" t="str">
        <f t="shared" si="14"/>
        <v>1967334.52</v>
      </c>
      <c r="I72" s="2">
        <f t="shared" si="3"/>
        <v>1967334</v>
      </c>
      <c r="J72" s="3" t="str">
        <f>IF(G72-INT(G72)&lt;&gt;0,RIGHT(H72,2),)</f>
        <v>52</v>
      </c>
      <c r="M72" s="1"/>
    </row>
    <row r="73" spans="1:13" ht="23.25">
      <c r="A73" s="1">
        <f>74105+81145+77625+79815+79815+79815+81335+81335+81335+81335+81335</f>
        <v>878995</v>
      </c>
      <c r="C73" s="1" t="str">
        <f t="shared" si="2"/>
        <v>878995.0</v>
      </c>
      <c r="D73" s="2">
        <f t="shared" si="4"/>
        <v>878995</v>
      </c>
      <c r="E73" s="3">
        <f t="shared" si="15"/>
        <v>0</v>
      </c>
      <c r="F73" s="7" t="s">
        <v>166</v>
      </c>
      <c r="G73" s="1">
        <v>81335</v>
      </c>
      <c r="H73" s="1" t="str">
        <f t="shared" si="14"/>
        <v>81335.0</v>
      </c>
      <c r="I73" s="2">
        <f t="shared" si="3"/>
        <v>81335</v>
      </c>
      <c r="J73" s="3">
        <f t="shared" si="16"/>
        <v>0</v>
      </c>
      <c r="M73" s="1"/>
    </row>
    <row r="74" spans="1:13" ht="23.25">
      <c r="A74" s="1">
        <f>2895671.45+3472763+3197340.18+3270240.65+3273324.82+3262980+3226173.33+3181065.81+3168113+3159291.62+3181469.01</f>
        <v>35288432.87</v>
      </c>
      <c r="C74" s="1" t="str">
        <f t="shared" si="2"/>
        <v>35288432.87</v>
      </c>
      <c r="D74" s="2">
        <f t="shared" si="4"/>
        <v>35288432</v>
      </c>
      <c r="E74" s="3" t="str">
        <f t="shared" si="15"/>
        <v>87</v>
      </c>
      <c r="F74" s="7" t="s">
        <v>167</v>
      </c>
      <c r="G74" s="1">
        <v>3181469.01</v>
      </c>
      <c r="H74" s="1" t="str">
        <f t="shared" si="14"/>
        <v>3181469.01</v>
      </c>
      <c r="I74" s="2">
        <f t="shared" si="3"/>
        <v>3181469</v>
      </c>
      <c r="J74" s="3" t="str">
        <f t="shared" si="16"/>
        <v>01</v>
      </c>
      <c r="M74" s="1"/>
    </row>
    <row r="75" spans="1:13" ht="23.25">
      <c r="A75" s="1">
        <f>144120+186420+230045+197432+180880+219415.75+155419.68+225085+264746.75+141700+275270</f>
        <v>2220534.1799999997</v>
      </c>
      <c r="C75" s="1" t="str">
        <f t="shared" si="2"/>
        <v>2220534.18</v>
      </c>
      <c r="D75" s="2">
        <f t="shared" si="4"/>
        <v>2220534</v>
      </c>
      <c r="E75" s="3" t="str">
        <f t="shared" si="15"/>
        <v>18</v>
      </c>
      <c r="F75" s="7" t="s">
        <v>15</v>
      </c>
      <c r="G75" s="1">
        <v>275270</v>
      </c>
      <c r="H75" s="1" t="str">
        <f t="shared" si="14"/>
        <v>275270.0</v>
      </c>
      <c r="I75" s="2">
        <f t="shared" si="3"/>
        <v>275270</v>
      </c>
      <c r="J75" s="3">
        <f t="shared" si="16"/>
        <v>0</v>
      </c>
      <c r="M75" s="1"/>
    </row>
    <row r="76" spans="1:13" ht="23.25">
      <c r="A76" s="1">
        <f>161581+1251732.67+2793408.19+2527748.31+2646272+4097512.73+1631999.4+1880073.41+2430340.7+1611690.22+1597437.34</f>
        <v>22629795.97</v>
      </c>
      <c r="C76" s="1" t="str">
        <f t="shared" si="2"/>
        <v>22629795.97</v>
      </c>
      <c r="D76" s="2">
        <f t="shared" si="4"/>
        <v>22629795</v>
      </c>
      <c r="E76" s="3" t="str">
        <f t="shared" si="15"/>
        <v>97</v>
      </c>
      <c r="F76" s="7" t="s">
        <v>16</v>
      </c>
      <c r="G76" s="1">
        <v>1597437.34</v>
      </c>
      <c r="H76" s="1" t="str">
        <f t="shared" si="14"/>
        <v>1597437.34</v>
      </c>
      <c r="I76" s="2">
        <f t="shared" si="3"/>
        <v>1597437</v>
      </c>
      <c r="J76" s="3" t="str">
        <f t="shared" si="16"/>
        <v>34</v>
      </c>
      <c r="M76" s="1"/>
    </row>
    <row r="77" spans="1:13" ht="23.25">
      <c r="A77" s="24">
        <f>308370.6+731821.7+707028.38+614367.75+1218966.09+795165.16+545808.82+1319214.47+407359.79+237467</f>
        <v>6885569.76</v>
      </c>
      <c r="B77" s="24"/>
      <c r="C77" s="1" t="str">
        <f t="shared" si="2"/>
        <v>6885569.76</v>
      </c>
      <c r="D77" s="2">
        <f t="shared" si="4"/>
        <v>6885569</v>
      </c>
      <c r="E77" s="3" t="str">
        <f t="shared" si="15"/>
        <v>76</v>
      </c>
      <c r="F77" s="7" t="s">
        <v>17</v>
      </c>
      <c r="G77" s="1">
        <v>237467</v>
      </c>
      <c r="H77" s="1" t="str">
        <f t="shared" si="14"/>
        <v>237467.0</v>
      </c>
      <c r="I77" s="2">
        <f t="shared" si="3"/>
        <v>237467</v>
      </c>
      <c r="J77" s="3">
        <f t="shared" si="16"/>
        <v>0</v>
      </c>
      <c r="M77" s="1"/>
    </row>
    <row r="78" spans="1:13" ht="23.25">
      <c r="A78" s="1">
        <f>137873.39+168338.16+197623.94+200027.82+132407.84+195711.61+187142.14+299656.21+244038.02+224856.92+5517.86</f>
        <v>1993193.91</v>
      </c>
      <c r="C78" s="1" t="str">
        <f t="shared" si="2"/>
        <v>1993193.91</v>
      </c>
      <c r="D78" s="2">
        <f t="shared" si="4"/>
        <v>1993193</v>
      </c>
      <c r="E78" s="3" t="str">
        <f t="shared" si="15"/>
        <v>91</v>
      </c>
      <c r="F78" s="7" t="s">
        <v>18</v>
      </c>
      <c r="G78" s="1">
        <v>5517.86</v>
      </c>
      <c r="H78" s="1" t="str">
        <f t="shared" si="14"/>
        <v>5517.86</v>
      </c>
      <c r="I78" s="2">
        <f t="shared" si="3"/>
        <v>5517</v>
      </c>
      <c r="J78" s="3" t="str">
        <f t="shared" si="16"/>
        <v>86</v>
      </c>
      <c r="L78" s="64"/>
      <c r="M78" s="1"/>
    </row>
    <row r="79" spans="1:13" ht="23.25">
      <c r="A79" s="1">
        <f>286402+702174.85+338188.32+9229734.95+395919+1452930.68+320905+309536.4+300252.5+2145500</f>
        <v>15481543.7</v>
      </c>
      <c r="C79" s="1" t="str">
        <f t="shared" si="2"/>
        <v>15481543.70</v>
      </c>
      <c r="D79" s="2">
        <f t="shared" si="4"/>
        <v>15481543</v>
      </c>
      <c r="E79" s="3" t="str">
        <f t="shared" si="15"/>
        <v>70</v>
      </c>
      <c r="F79" s="7" t="s">
        <v>19</v>
      </c>
      <c r="G79" s="1">
        <v>2145500</v>
      </c>
      <c r="H79" s="1" t="str">
        <f t="shared" si="14"/>
        <v>2145500.0</v>
      </c>
      <c r="I79" s="2">
        <f t="shared" si="3"/>
        <v>2145500</v>
      </c>
      <c r="J79" s="3">
        <f t="shared" si="16"/>
        <v>0</v>
      </c>
      <c r="M79" s="1"/>
    </row>
    <row r="80" spans="1:13" ht="23.25">
      <c r="A80" s="1">
        <f>2663000+3269500+8339000+1049577+3342700+2706800+1772900+2860200</f>
        <v>26003677</v>
      </c>
      <c r="C80" s="1" t="str">
        <f t="shared" si="2"/>
        <v>26003677.0</v>
      </c>
      <c r="D80" s="2">
        <f t="shared" si="4"/>
        <v>26003677</v>
      </c>
      <c r="E80" s="3">
        <f t="shared" si="15"/>
        <v>0</v>
      </c>
      <c r="F80" s="7" t="s">
        <v>20</v>
      </c>
      <c r="G80" s="1">
        <v>2860200</v>
      </c>
      <c r="H80" s="1" t="str">
        <f t="shared" si="14"/>
        <v>2860200.0</v>
      </c>
      <c r="I80" s="2">
        <f t="shared" si="3"/>
        <v>2860200</v>
      </c>
      <c r="J80" s="3">
        <f t="shared" si="16"/>
        <v>0</v>
      </c>
      <c r="L80" s="64"/>
      <c r="M80" s="1"/>
    </row>
    <row r="81" spans="1:13" ht="23.25">
      <c r="A81" s="34">
        <f>10000+643000+50000+90000+650000+850000+944000+285000</f>
        <v>3522000</v>
      </c>
      <c r="B81" s="34">
        <f>SUM(A70:A81)</f>
        <v>149713834.28</v>
      </c>
      <c r="C81" s="1" t="str">
        <f t="shared" si="2"/>
        <v>3522000.0</v>
      </c>
      <c r="D81" s="2">
        <f t="shared" si="4"/>
        <v>3522000</v>
      </c>
      <c r="E81" s="3">
        <f t="shared" si="15"/>
        <v>0</v>
      </c>
      <c r="F81" s="7" t="s">
        <v>10</v>
      </c>
      <c r="G81" s="1">
        <v>285000</v>
      </c>
      <c r="H81" s="1" t="str">
        <f t="shared" si="14"/>
        <v>285000.0</v>
      </c>
      <c r="I81" s="2">
        <f t="shared" si="3"/>
        <v>285000</v>
      </c>
      <c r="J81" s="3">
        <f t="shared" si="16"/>
        <v>0</v>
      </c>
      <c r="L81" s="64"/>
      <c r="M81" s="1"/>
    </row>
    <row r="82" spans="1:13" ht="23.25">
      <c r="A82" s="34"/>
      <c r="B82" s="34"/>
      <c r="C82" s="1" t="str">
        <f>TEXT(A82,"#.#0")</f>
        <v>.0</v>
      </c>
      <c r="D82" s="2">
        <f t="shared" si="4"/>
        <v>0</v>
      </c>
      <c r="E82" s="3">
        <f>IF(A82-INT(A82)&lt;&gt;0,RIGHT(C82,2),)</f>
        <v>0</v>
      </c>
      <c r="F82" s="7" t="s">
        <v>147</v>
      </c>
      <c r="G82" s="1">
        <v>0</v>
      </c>
      <c r="H82" s="1" t="str">
        <f t="shared" si="14"/>
        <v>.0</v>
      </c>
      <c r="I82" s="2">
        <f t="shared" si="3"/>
        <v>0</v>
      </c>
      <c r="J82" s="3">
        <f>IF(G82-INT(G82)&lt;&gt;0,RIGHT(H82,2),)</f>
        <v>0</v>
      </c>
      <c r="L82" s="64">
        <f>SUM(G70:G81)</f>
        <v>17713826.119999997</v>
      </c>
      <c r="M82" s="1"/>
    </row>
    <row r="83" spans="3:13" ht="23.25">
      <c r="C83" s="1" t="str">
        <f t="shared" si="2"/>
        <v>.0</v>
      </c>
      <c r="D83" s="2">
        <f t="shared" si="4"/>
        <v>0</v>
      </c>
      <c r="E83" s="3">
        <f t="shared" si="15"/>
        <v>0</v>
      </c>
      <c r="F83" s="7" t="s">
        <v>119</v>
      </c>
      <c r="G83" s="1">
        <v>0</v>
      </c>
      <c r="H83" s="1" t="str">
        <f t="shared" si="14"/>
        <v>.0</v>
      </c>
      <c r="I83" s="2">
        <f t="shared" si="3"/>
        <v>0</v>
      </c>
      <c r="J83" s="3">
        <f>IF(G83-INT(G83)&lt;&gt;0,RIGHT(H83,2),)</f>
        <v>0</v>
      </c>
      <c r="M83" s="1"/>
    </row>
    <row r="84" spans="1:13" ht="23.25">
      <c r="A84" s="1">
        <f>108146+784100+1043610+481708+1760830+399850+688330+747922+253700+434022+295250</f>
        <v>6997468</v>
      </c>
      <c r="C84" s="1" t="str">
        <f t="shared" si="2"/>
        <v>6997468.0</v>
      </c>
      <c r="D84" s="2">
        <f t="shared" si="4"/>
        <v>6997468</v>
      </c>
      <c r="E84" s="3">
        <f t="shared" si="15"/>
        <v>0</v>
      </c>
      <c r="F84" s="7" t="s">
        <v>63</v>
      </c>
      <c r="G84" s="59">
        <v>295250</v>
      </c>
      <c r="H84" s="1" t="str">
        <f t="shared" si="14"/>
        <v>295250.0</v>
      </c>
      <c r="I84" s="2">
        <f t="shared" si="3"/>
        <v>295250</v>
      </c>
      <c r="J84" s="3">
        <f t="shared" si="16"/>
        <v>0</v>
      </c>
      <c r="M84" s="1"/>
    </row>
    <row r="85" spans="1:13" ht="23.25">
      <c r="A85" s="1">
        <f>2336900+2322400+2374860+1997880+2250700+2229500+2219600+2213500</f>
        <v>17945340</v>
      </c>
      <c r="C85" s="1" t="str">
        <f t="shared" si="2"/>
        <v>17945340.0</v>
      </c>
      <c r="D85" s="2">
        <f t="shared" si="4"/>
        <v>17945340</v>
      </c>
      <c r="E85" s="3">
        <f t="shared" si="15"/>
        <v>0</v>
      </c>
      <c r="F85" s="7" t="s">
        <v>62</v>
      </c>
      <c r="H85" s="1" t="str">
        <f t="shared" si="14"/>
        <v>.0</v>
      </c>
      <c r="I85" s="2">
        <f t="shared" si="3"/>
        <v>0</v>
      </c>
      <c r="J85" s="3">
        <f t="shared" si="16"/>
        <v>0</v>
      </c>
      <c r="M85" s="1"/>
    </row>
    <row r="86" spans="3:10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101</v>
      </c>
      <c r="H86" s="1" t="str">
        <f t="shared" si="14"/>
        <v>.0</v>
      </c>
      <c r="I86" s="2">
        <f t="shared" si="3"/>
        <v>0</v>
      </c>
      <c r="J86" s="3">
        <f aca="true" t="shared" si="17" ref="J86:J93">IF(G86-INT(G86)&lt;&gt;0,RIGHT(H86,2),)</f>
        <v>0</v>
      </c>
    </row>
    <row r="87" spans="1:10" ht="23.25">
      <c r="A87" s="1">
        <f>32200+6800+6000+6000</f>
        <v>51000</v>
      </c>
      <c r="C87" s="1" t="str">
        <f>TEXT(A87,"#.#0")</f>
        <v>51000.0</v>
      </c>
      <c r="D87" s="2">
        <f t="shared" si="4"/>
        <v>51000</v>
      </c>
      <c r="E87" s="3">
        <f>IF(A87-INT(A87)&lt;&gt;0,RIGHT(C87,2),)</f>
        <v>0</v>
      </c>
      <c r="F87" s="7" t="s">
        <v>178</v>
      </c>
      <c r="G87" s="1">
        <v>6000</v>
      </c>
      <c r="H87" s="1" t="str">
        <f t="shared" si="14"/>
        <v>6000.0</v>
      </c>
      <c r="I87" s="2">
        <f t="shared" si="3"/>
        <v>6000</v>
      </c>
      <c r="J87" s="3">
        <f t="shared" si="17"/>
        <v>0</v>
      </c>
    </row>
    <row r="88" spans="1:10" ht="23.25">
      <c r="A88" s="1">
        <v>15000</v>
      </c>
      <c r="C88" s="1" t="str">
        <f>TEXT(A88,"#.#0")</f>
        <v>15000.0</v>
      </c>
      <c r="D88" s="2">
        <f t="shared" si="4"/>
        <v>15000</v>
      </c>
      <c r="E88" s="3"/>
      <c r="F88" s="91" t="s">
        <v>238</v>
      </c>
      <c r="G88" s="1">
        <v>15000</v>
      </c>
      <c r="H88" s="1" t="str">
        <f t="shared" si="14"/>
        <v>15000.0</v>
      </c>
      <c r="I88" s="2">
        <f t="shared" si="3"/>
        <v>15000</v>
      </c>
      <c r="J88" s="3">
        <f t="shared" si="17"/>
        <v>0</v>
      </c>
    </row>
    <row r="89" spans="1:10" ht="23.25">
      <c r="A89" s="1">
        <v>10200</v>
      </c>
      <c r="C89" s="1" t="str">
        <f>TEXT(A89,"#.#0")</f>
        <v>10200.0</v>
      </c>
      <c r="D89" s="2">
        <f t="shared" si="4"/>
        <v>10200</v>
      </c>
      <c r="E89" s="3"/>
      <c r="F89" s="91" t="s">
        <v>239</v>
      </c>
      <c r="G89" s="1">
        <v>10200</v>
      </c>
      <c r="H89" s="1" t="str">
        <f t="shared" si="14"/>
        <v>10200.0</v>
      </c>
      <c r="I89" s="2">
        <f t="shared" si="3"/>
        <v>10200</v>
      </c>
      <c r="J89" s="3">
        <f t="shared" si="17"/>
        <v>0</v>
      </c>
    </row>
    <row r="90" spans="3:10" ht="23.25">
      <c r="C90" s="1" t="str">
        <f t="shared" si="2"/>
        <v>.0</v>
      </c>
      <c r="D90" s="2">
        <f t="shared" si="4"/>
        <v>0</v>
      </c>
      <c r="E90" s="3">
        <f t="shared" si="15"/>
        <v>0</v>
      </c>
      <c r="F90" s="7" t="s">
        <v>109</v>
      </c>
      <c r="H90" s="1" t="str">
        <f t="shared" si="14"/>
        <v>.0</v>
      </c>
      <c r="I90" s="2">
        <f t="shared" si="3"/>
        <v>0</v>
      </c>
      <c r="J90" s="3">
        <f t="shared" si="17"/>
        <v>0</v>
      </c>
    </row>
    <row r="91" spans="3:10" ht="23.25">
      <c r="C91" s="1" t="str">
        <f t="shared" si="2"/>
        <v>.0</v>
      </c>
      <c r="D91" s="2">
        <f t="shared" si="4"/>
        <v>0</v>
      </c>
      <c r="E91" s="3">
        <f t="shared" si="15"/>
        <v>0</v>
      </c>
      <c r="F91" s="7" t="s">
        <v>110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3:10" ht="23.25">
      <c r="C92" s="1" t="str">
        <f>TEXT(A92,"#.#0")</f>
        <v>.0</v>
      </c>
      <c r="D92" s="2">
        <f>INT(C92)</f>
        <v>0</v>
      </c>
      <c r="E92" s="3">
        <f t="shared" si="15"/>
        <v>0</v>
      </c>
      <c r="F92" s="7" t="s">
        <v>108</v>
      </c>
      <c r="H92" s="1" t="str">
        <f>TEXT(G92,"#.#0")</f>
        <v>.0</v>
      </c>
      <c r="I92" s="2">
        <f>INT(H92)</f>
        <v>0</v>
      </c>
      <c r="J92" s="3">
        <f t="shared" si="17"/>
        <v>0</v>
      </c>
    </row>
    <row r="93" spans="3:10" ht="23.25">
      <c r="C93" s="1" t="str">
        <f>TEXT(A93,"#.#0")</f>
        <v>.0</v>
      </c>
      <c r="D93" s="2">
        <f>INT(C93)</f>
        <v>0</v>
      </c>
      <c r="E93" s="3">
        <f>IF(A93-INT(A93)&lt;&gt;0,RIGHT(C93,2),)</f>
        <v>0</v>
      </c>
      <c r="F93" s="7" t="s">
        <v>105</v>
      </c>
      <c r="H93" s="1" t="str">
        <f>TEXT(G93,"#.#0")</f>
        <v>.0</v>
      </c>
      <c r="I93" s="2">
        <f>INT(H93)</f>
        <v>0</v>
      </c>
      <c r="J93" s="3">
        <f t="shared" si="17"/>
        <v>0</v>
      </c>
    </row>
    <row r="94" spans="1:10" ht="23.25">
      <c r="A94" s="1">
        <v>223200</v>
      </c>
      <c r="C94" s="1" t="str">
        <f t="shared" si="2"/>
        <v>223200.0</v>
      </c>
      <c r="D94" s="2">
        <f t="shared" si="4"/>
        <v>223200</v>
      </c>
      <c r="E94" s="3">
        <f t="shared" si="15"/>
        <v>0</v>
      </c>
      <c r="F94" s="7" t="s">
        <v>77</v>
      </c>
      <c r="H94" s="1" t="str">
        <f t="shared" si="14"/>
        <v>.0</v>
      </c>
      <c r="I94" s="2">
        <f t="shared" si="3"/>
        <v>0</v>
      </c>
      <c r="J94" s="3">
        <f t="shared" si="16"/>
        <v>0</v>
      </c>
    </row>
    <row r="95" spans="1:10" ht="23.25">
      <c r="A95" s="1">
        <f>1935000+219500+1663750.8+3780413.32</f>
        <v>7598664.119999999</v>
      </c>
      <c r="C95" s="1" t="str">
        <f t="shared" si="2"/>
        <v>7598664.12</v>
      </c>
      <c r="D95" s="2">
        <f t="shared" si="4"/>
        <v>7598664</v>
      </c>
      <c r="E95" s="3" t="str">
        <f t="shared" si="15"/>
        <v>12</v>
      </c>
      <c r="F95" s="7" t="s">
        <v>21</v>
      </c>
      <c r="G95" s="1">
        <v>0</v>
      </c>
      <c r="H95" s="1" t="str">
        <f t="shared" si="14"/>
        <v>.0</v>
      </c>
      <c r="I95" s="2">
        <f t="shared" si="3"/>
        <v>0</v>
      </c>
      <c r="J95" s="3">
        <f t="shared" si="16"/>
        <v>0</v>
      </c>
    </row>
    <row r="96" spans="1:10" ht="23.25">
      <c r="A96" s="1">
        <v>2917110.56</v>
      </c>
      <c r="C96" s="1" t="str">
        <f t="shared" si="2"/>
        <v>2917110.56</v>
      </c>
      <c r="D96" s="2">
        <f t="shared" si="4"/>
        <v>2917110</v>
      </c>
      <c r="E96" s="3" t="str">
        <f t="shared" si="15"/>
        <v>56</v>
      </c>
      <c r="F96" s="7" t="s">
        <v>172</v>
      </c>
      <c r="H96" s="1" t="str">
        <f t="shared" si="14"/>
        <v>.0</v>
      </c>
      <c r="I96" s="2">
        <f t="shared" si="3"/>
        <v>0</v>
      </c>
      <c r="J96" s="3">
        <f t="shared" si="16"/>
        <v>0</v>
      </c>
    </row>
    <row r="97" spans="3:10" ht="23.25">
      <c r="C97" s="1" t="str">
        <f t="shared" si="2"/>
        <v>.0</v>
      </c>
      <c r="D97" s="2">
        <f t="shared" si="4"/>
        <v>0</v>
      </c>
      <c r="E97" s="3">
        <f t="shared" si="15"/>
        <v>0</v>
      </c>
      <c r="F97" s="7" t="s">
        <v>68</v>
      </c>
      <c r="H97" s="1" t="str">
        <f t="shared" si="14"/>
        <v>.0</v>
      </c>
      <c r="I97" s="2">
        <f t="shared" si="3"/>
        <v>0</v>
      </c>
      <c r="J97" s="3">
        <f>IF(G97-INT(G97)&lt;&gt;0,RIGHT(H97,2),)</f>
        <v>0</v>
      </c>
    </row>
    <row r="98" spans="1:11" ht="23.25">
      <c r="A98" s="1">
        <f>1020400.54+850666.27+1092729.53+1112291.14+2637327+2510247.5+1787354.41+1476007.17+1966795.39+959192.28+970436.16</f>
        <v>16383447.39</v>
      </c>
      <c r="C98" s="1" t="str">
        <f t="shared" si="2"/>
        <v>16383447.39</v>
      </c>
      <c r="D98" s="2">
        <f t="shared" si="4"/>
        <v>16383447</v>
      </c>
      <c r="E98" s="3" t="str">
        <f t="shared" si="15"/>
        <v>39</v>
      </c>
      <c r="F98" s="7" t="s">
        <v>11</v>
      </c>
      <c r="G98" s="1">
        <v>970436.16</v>
      </c>
      <c r="H98" s="1" t="str">
        <f t="shared" si="14"/>
        <v>970436.16</v>
      </c>
      <c r="I98" s="2">
        <f t="shared" si="3"/>
        <v>970436</v>
      </c>
      <c r="J98" s="3" t="str">
        <f t="shared" si="16"/>
        <v>16</v>
      </c>
      <c r="K98" t="s">
        <v>221</v>
      </c>
    </row>
    <row r="99" spans="1:10" ht="23.25">
      <c r="A99" s="1">
        <f>480008.39+1932000+1477000+499000+553192.05+1843690.41</f>
        <v>6784890.850000001</v>
      </c>
      <c r="C99" s="1" t="str">
        <f t="shared" si="2"/>
        <v>6784890.85</v>
      </c>
      <c r="D99" s="2">
        <f t="shared" si="4"/>
        <v>6784890</v>
      </c>
      <c r="E99" s="3" t="str">
        <f t="shared" si="15"/>
        <v>85</v>
      </c>
      <c r="F99" s="7" t="s">
        <v>12</v>
      </c>
      <c r="G99" s="1">
        <v>1843690.41</v>
      </c>
      <c r="H99" s="1" t="str">
        <f t="shared" si="14"/>
        <v>1843690.41</v>
      </c>
      <c r="I99" s="2">
        <f t="shared" si="3"/>
        <v>1843690</v>
      </c>
      <c r="J99" s="3" t="str">
        <f t="shared" si="16"/>
        <v>41</v>
      </c>
    </row>
    <row r="100" spans="1:10" ht="23.25">
      <c r="A100" s="1">
        <v>1270817.61</v>
      </c>
      <c r="C100" s="1"/>
      <c r="D100" s="2"/>
      <c r="E100" s="3"/>
      <c r="F100" s="7" t="s">
        <v>237</v>
      </c>
      <c r="G100" s="1">
        <v>1270817.61</v>
      </c>
      <c r="H100" s="1" t="str">
        <f t="shared" si="14"/>
        <v>1270817.61</v>
      </c>
      <c r="I100" s="2">
        <f t="shared" si="3"/>
        <v>1270817</v>
      </c>
      <c r="J100" s="3" t="str">
        <f t="shared" si="16"/>
        <v>61</v>
      </c>
    </row>
    <row r="101" spans="1:10" ht="23.25">
      <c r="A101" s="1">
        <v>628338.81</v>
      </c>
      <c r="C101" s="1" t="str">
        <f t="shared" si="2"/>
        <v>628338.81</v>
      </c>
      <c r="D101" s="2">
        <f t="shared" si="4"/>
        <v>628338</v>
      </c>
      <c r="E101" s="3" t="str">
        <f t="shared" si="15"/>
        <v>81</v>
      </c>
      <c r="F101" s="7" t="s">
        <v>177</v>
      </c>
      <c r="H101" s="1" t="str">
        <f t="shared" si="14"/>
        <v>.0</v>
      </c>
      <c r="I101" s="2">
        <f t="shared" si="3"/>
        <v>0</v>
      </c>
      <c r="J101" s="3">
        <f t="shared" si="16"/>
        <v>0</v>
      </c>
    </row>
    <row r="102" spans="1:10" ht="23.25">
      <c r="A102" s="1">
        <f>125363+8400</f>
        <v>133763</v>
      </c>
      <c r="C102" s="1" t="str">
        <f>TEXT(A102,"#.#0")</f>
        <v>133763.0</v>
      </c>
      <c r="D102" s="2">
        <f t="shared" si="4"/>
        <v>133763</v>
      </c>
      <c r="E102" s="3">
        <f>IF(A102-INT(A102)&lt;&gt;0,RIGHT(C102,2),)</f>
        <v>0</v>
      </c>
      <c r="F102" s="7" t="s">
        <v>143</v>
      </c>
      <c r="G102" s="1">
        <v>8400</v>
      </c>
      <c r="H102" s="1" t="str">
        <f t="shared" si="14"/>
        <v>8400.0</v>
      </c>
      <c r="I102" s="2">
        <f t="shared" si="3"/>
        <v>8400</v>
      </c>
      <c r="J102" s="3">
        <f>IF(G102-INT(G102)&lt;&gt;0,RIGHT(H102,2),)</f>
        <v>0</v>
      </c>
    </row>
    <row r="103" spans="1:10" ht="23.25">
      <c r="A103" s="1">
        <v>1553000</v>
      </c>
      <c r="C103" s="1" t="str">
        <f t="shared" si="2"/>
        <v>1553000.0</v>
      </c>
      <c r="D103" s="2">
        <f t="shared" si="4"/>
        <v>1553000</v>
      </c>
      <c r="E103" s="3">
        <f t="shared" si="15"/>
        <v>0</v>
      </c>
      <c r="F103" s="7" t="s">
        <v>130</v>
      </c>
      <c r="H103" s="1" t="str">
        <f t="shared" si="14"/>
        <v>.0</v>
      </c>
      <c r="I103" s="2">
        <f t="shared" si="3"/>
        <v>0</v>
      </c>
      <c r="J103" s="3">
        <f t="shared" si="16"/>
        <v>0</v>
      </c>
    </row>
    <row r="104" spans="1:10" ht="23.25">
      <c r="A104" s="1">
        <v>43000</v>
      </c>
      <c r="C104" s="1" t="str">
        <f>TEXT(A104,"#.#0")</f>
        <v>43000.0</v>
      </c>
      <c r="D104" s="2">
        <f t="shared" si="4"/>
        <v>43000</v>
      </c>
      <c r="E104" s="3">
        <f>IF(A104-INT(A104)&lt;&gt;0,RIGHT(C104,2),)</f>
        <v>0</v>
      </c>
      <c r="F104" s="7" t="s">
        <v>152</v>
      </c>
      <c r="H104" s="1" t="str">
        <f t="shared" si="14"/>
        <v>.0</v>
      </c>
      <c r="I104" s="2">
        <f t="shared" si="3"/>
        <v>0</v>
      </c>
      <c r="J104" s="3">
        <f>IF(G104-INT(G104)&lt;&gt;0,RIGHT(H104,2),)</f>
        <v>0</v>
      </c>
    </row>
    <row r="105" spans="3:10" ht="23.25">
      <c r="C105" s="1" t="str">
        <f t="shared" si="2"/>
        <v>.0</v>
      </c>
      <c r="D105" s="2">
        <f t="shared" si="4"/>
        <v>0</v>
      </c>
      <c r="E105" s="3">
        <f t="shared" si="15"/>
        <v>0</v>
      </c>
      <c r="F105" s="7" t="s">
        <v>131</v>
      </c>
      <c r="H105" s="1" t="str">
        <f t="shared" si="14"/>
        <v>.0</v>
      </c>
      <c r="I105" s="2">
        <f t="shared" si="3"/>
        <v>0</v>
      </c>
      <c r="J105" s="3">
        <f t="shared" si="16"/>
        <v>0</v>
      </c>
    </row>
    <row r="106" spans="1:11" ht="23.25">
      <c r="A106" s="1">
        <f>3937800+1994800+3926400+5500+3815300+2100+3780100+1886200+1913600</f>
        <v>21261800</v>
      </c>
      <c r="C106" s="1" t="str">
        <f>TEXT(A106,"#.#0")</f>
        <v>21261800.0</v>
      </c>
      <c r="D106" s="2">
        <f t="shared" si="4"/>
        <v>21261800</v>
      </c>
      <c r="E106" s="3">
        <f>IF(A106-INT(A106)&lt;&gt;0,RIGHT(C106,2),)</f>
        <v>0</v>
      </c>
      <c r="F106" s="8" t="s">
        <v>184</v>
      </c>
      <c r="G106" s="1">
        <v>1913600</v>
      </c>
      <c r="H106" s="1" t="str">
        <f t="shared" si="14"/>
        <v>1913600.0</v>
      </c>
      <c r="I106" s="2">
        <f t="shared" si="3"/>
        <v>1913600</v>
      </c>
      <c r="J106" s="3">
        <f t="shared" si="16"/>
        <v>0</v>
      </c>
      <c r="K106" t="s">
        <v>220</v>
      </c>
    </row>
    <row r="107" spans="1:10" ht="23.25">
      <c r="A107" s="1">
        <f>647200+324000+638400+319200+304800+3200+608800+306400+308000</f>
        <v>3460000</v>
      </c>
      <c r="C107" s="1" t="str">
        <f>TEXT(A107,"#.#0")</f>
        <v>3460000.0</v>
      </c>
      <c r="D107" s="2">
        <f t="shared" si="4"/>
        <v>3460000</v>
      </c>
      <c r="E107" s="3">
        <f>IF(A107-INT(A107)&lt;&gt;0,RIGHT(C107,2),)</f>
        <v>0</v>
      </c>
      <c r="F107" s="8" t="s">
        <v>185</v>
      </c>
      <c r="G107" s="1">
        <v>308000</v>
      </c>
      <c r="H107" s="1" t="str">
        <f t="shared" si="14"/>
        <v>308000.0</v>
      </c>
      <c r="I107" s="2">
        <f t="shared" si="3"/>
        <v>308000</v>
      </c>
      <c r="J107" s="3">
        <f>IF(G107-INT(G107)&lt;&gt;0,RIGHT(H107,2),)</f>
        <v>0</v>
      </c>
    </row>
    <row r="108" spans="1:10" ht="23.25">
      <c r="A108" s="1">
        <f>74760+37380+74760+108550+68710+68710+68710+68710</f>
        <v>570290</v>
      </c>
      <c r="C108" s="1" t="str">
        <f t="shared" si="2"/>
        <v>570290.0</v>
      </c>
      <c r="D108" s="2">
        <f t="shared" si="4"/>
        <v>570290</v>
      </c>
      <c r="E108" s="3">
        <f t="shared" si="15"/>
        <v>0</v>
      </c>
      <c r="F108" s="8" t="s">
        <v>186</v>
      </c>
      <c r="G108" s="1">
        <v>68710</v>
      </c>
      <c r="H108" s="1" t="str">
        <f t="shared" si="14"/>
        <v>68710.0</v>
      </c>
      <c r="I108" s="2">
        <f t="shared" si="3"/>
        <v>68710</v>
      </c>
      <c r="J108" s="3">
        <f>IF(G108-INT(G108)&lt;&gt;0,RIGHT(H108,2),)</f>
        <v>0</v>
      </c>
    </row>
    <row r="109" spans="1:10" ht="23.25">
      <c r="A109" s="1">
        <f>75200+37600+54500+75200+37600+9400+9400+9400+9400+27593.54</f>
        <v>345293.54</v>
      </c>
      <c r="C109" s="1" t="str">
        <f t="shared" si="2"/>
        <v>345293.54</v>
      </c>
      <c r="D109" s="2">
        <f t="shared" si="4"/>
        <v>345293</v>
      </c>
      <c r="E109" s="3" t="str">
        <f t="shared" si="15"/>
        <v>54</v>
      </c>
      <c r="F109" s="8" t="s">
        <v>187</v>
      </c>
      <c r="G109" s="1">
        <v>27593.54</v>
      </c>
      <c r="H109" s="1" t="str">
        <f t="shared" si="14"/>
        <v>27593.54</v>
      </c>
      <c r="I109" s="2">
        <f t="shared" si="3"/>
        <v>27593</v>
      </c>
      <c r="J109" s="3" t="str">
        <f>IF(G109-INT(G109)&lt;&gt;0,RIGHT(H109,2),)</f>
        <v>54</v>
      </c>
    </row>
    <row r="110" spans="1:10" ht="23.25">
      <c r="A110" s="1">
        <f>4560+2280+2725+2280+2280+2280+570+570+570+570</f>
        <v>18685</v>
      </c>
      <c r="C110" s="1" t="str">
        <f t="shared" si="2"/>
        <v>18685.0</v>
      </c>
      <c r="D110" s="2">
        <f t="shared" si="4"/>
        <v>18685</v>
      </c>
      <c r="E110" s="3">
        <f t="shared" si="15"/>
        <v>0</v>
      </c>
      <c r="F110" s="7" t="s">
        <v>188</v>
      </c>
      <c r="G110" s="1">
        <v>570</v>
      </c>
      <c r="H110" s="1" t="str">
        <f t="shared" si="14"/>
        <v>570.0</v>
      </c>
      <c r="I110" s="2">
        <f t="shared" si="3"/>
        <v>570</v>
      </c>
      <c r="J110" s="3">
        <f t="shared" si="16"/>
        <v>0</v>
      </c>
    </row>
    <row r="111" spans="1:10" ht="23.25">
      <c r="A111" s="1">
        <f>16000+8000+16000+8000+2000+2000+2000+2000+5870.96</f>
        <v>61870.96</v>
      </c>
      <c r="C111" s="1" t="str">
        <f>TEXT(A111,"#.#0")</f>
        <v>61870.96</v>
      </c>
      <c r="D111" s="2">
        <f t="shared" si="4"/>
        <v>61870</v>
      </c>
      <c r="E111" s="3" t="str">
        <f>IF(A111-INT(A111)&lt;&gt;0,RIGHT(C111,2),)</f>
        <v>96</v>
      </c>
      <c r="F111" s="7" t="s">
        <v>189</v>
      </c>
      <c r="G111" s="1">
        <v>5870.96</v>
      </c>
      <c r="H111" s="1" t="str">
        <f t="shared" si="14"/>
        <v>5870.96</v>
      </c>
      <c r="I111" s="2">
        <f t="shared" si="3"/>
        <v>5870</v>
      </c>
      <c r="J111" s="3" t="str">
        <f>IF(G111-INT(G111)&lt;&gt;0,RIGHT(H111,2),)</f>
        <v>96</v>
      </c>
    </row>
    <row r="112" spans="1:10" ht="23.25">
      <c r="A112" s="1">
        <v>23024</v>
      </c>
      <c r="C112" s="1" t="str">
        <f aca="true" t="shared" si="18" ref="C112:C126">TEXT(A112,"#.#0")</f>
        <v>23024.0</v>
      </c>
      <c r="D112" s="2">
        <f aca="true" t="shared" si="19" ref="D112:D129">INT(C112)</f>
        <v>23024</v>
      </c>
      <c r="E112" s="3">
        <f aca="true" t="shared" si="20" ref="E112:E141">IF(A112-INT(A112)&lt;&gt;0,RIGHT(C112,2),)</f>
        <v>0</v>
      </c>
      <c r="F112" s="7" t="s">
        <v>194</v>
      </c>
      <c r="H112" s="1" t="str">
        <f aca="true" t="shared" si="21" ref="H112:H129">TEXT(G112,"#.#0")</f>
        <v>.0</v>
      </c>
      <c r="I112" s="2">
        <f aca="true" t="shared" si="22" ref="I112:I129">INT(H112)</f>
        <v>0</v>
      </c>
      <c r="J112" s="3">
        <f aca="true" t="shared" si="23" ref="J112:J122">IF(G112-INT(G112)&lt;&gt;0,RIGHT(H112,2),)</f>
        <v>0</v>
      </c>
    </row>
    <row r="113" spans="1:10" ht="23.25">
      <c r="A113" s="1">
        <v>460477.44</v>
      </c>
      <c r="C113" s="1" t="str">
        <f>TEXT(A113,"#.#0")</f>
        <v>460477.44</v>
      </c>
      <c r="D113" s="2">
        <f t="shared" si="19"/>
        <v>460477</v>
      </c>
      <c r="E113" s="3" t="str">
        <f>IF(A113-INT(A113)&lt;&gt;0,RIGHT(C113,2),)</f>
        <v>44</v>
      </c>
      <c r="F113" s="7" t="s">
        <v>132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6000</v>
      </c>
      <c r="C114" s="1" t="str">
        <f t="shared" si="18"/>
        <v>6000.0</v>
      </c>
      <c r="D114" s="2">
        <f t="shared" si="19"/>
        <v>6000</v>
      </c>
      <c r="E114" s="3">
        <f t="shared" si="20"/>
        <v>0</v>
      </c>
      <c r="F114" s="8" t="s">
        <v>133</v>
      </c>
      <c r="H114" s="1" t="str">
        <f t="shared" si="21"/>
        <v>.0</v>
      </c>
      <c r="I114" s="2">
        <f t="shared" si="22"/>
        <v>0</v>
      </c>
      <c r="J114" s="3">
        <f t="shared" si="23"/>
        <v>0</v>
      </c>
    </row>
    <row r="115" spans="1:10" ht="23.25">
      <c r="A115" s="1">
        <v>132620</v>
      </c>
      <c r="C115" s="1" t="str">
        <f t="shared" si="18"/>
        <v>132620.0</v>
      </c>
      <c r="D115" s="2">
        <f t="shared" si="19"/>
        <v>132620</v>
      </c>
      <c r="E115" s="3">
        <f t="shared" si="20"/>
        <v>0</v>
      </c>
      <c r="F115" s="8" t="s">
        <v>134</v>
      </c>
      <c r="H115" s="1" t="str">
        <f t="shared" si="21"/>
        <v>.0</v>
      </c>
      <c r="I115" s="2">
        <f t="shared" si="22"/>
        <v>0</v>
      </c>
      <c r="J115" s="3">
        <f t="shared" si="23"/>
        <v>0</v>
      </c>
    </row>
    <row r="116" spans="1:10" ht="23.25">
      <c r="A116" s="1">
        <v>11876</v>
      </c>
      <c r="C116" s="1" t="str">
        <f>TEXT(A116,"#.#0")</f>
        <v>11876.0</v>
      </c>
      <c r="D116" s="2">
        <f>INT(C116)</f>
        <v>11876</v>
      </c>
      <c r="E116" s="3">
        <f>IF(A116-INT(A116)&lt;&gt;0,RIGHT(C116,2),)</f>
        <v>0</v>
      </c>
      <c r="F116" s="8" t="s">
        <v>155</v>
      </c>
      <c r="H116" s="1" t="str">
        <f>TEXT(G116,"#.#0")</f>
        <v>.0</v>
      </c>
      <c r="I116" s="2">
        <f>INT(H116)</f>
        <v>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 t="shared" si="18"/>
        <v>98122.0</v>
      </c>
      <c r="D117" s="2">
        <f t="shared" si="19"/>
        <v>98122</v>
      </c>
      <c r="E117" s="3">
        <f t="shared" si="20"/>
        <v>0</v>
      </c>
      <c r="F117" s="8" t="s">
        <v>190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6844</v>
      </c>
      <c r="C118" s="1" t="str">
        <f>TEXT(A118,"#.#0")</f>
        <v>6844.0</v>
      </c>
      <c r="D118" s="2">
        <f t="shared" si="19"/>
        <v>6844</v>
      </c>
      <c r="E118" s="3">
        <f>IF(A118-INT(A118)&lt;&gt;0,RIGHT(C118,2),)</f>
        <v>0</v>
      </c>
      <c r="F118" s="8" t="s">
        <v>158</v>
      </c>
      <c r="H118" s="1" t="str">
        <f t="shared" si="21"/>
        <v>.0</v>
      </c>
      <c r="I118" s="2">
        <f t="shared" si="22"/>
        <v>0</v>
      </c>
      <c r="J118" s="3">
        <f>IF(G118-INT(G118)&lt;&gt;0,RIGHT(H118,2),)</f>
        <v>0</v>
      </c>
    </row>
    <row r="119" spans="1:10" ht="23.25">
      <c r="A119" s="1">
        <v>28170</v>
      </c>
      <c r="C119" s="1" t="str">
        <f t="shared" si="18"/>
        <v>28170.0</v>
      </c>
      <c r="D119" s="2">
        <f t="shared" si="19"/>
        <v>28170</v>
      </c>
      <c r="E119" s="3">
        <f t="shared" si="20"/>
        <v>0</v>
      </c>
      <c r="F119" s="8" t="s">
        <v>136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102722</v>
      </c>
      <c r="C120" s="1" t="str">
        <f t="shared" si="18"/>
        <v>102722.0</v>
      </c>
      <c r="D120" s="2">
        <f t="shared" si="19"/>
        <v>102722</v>
      </c>
      <c r="E120" s="3">
        <f t="shared" si="20"/>
        <v>0</v>
      </c>
      <c r="F120" s="8" t="s">
        <v>137</v>
      </c>
      <c r="H120" s="1" t="str">
        <f t="shared" si="21"/>
        <v>.0</v>
      </c>
      <c r="I120" s="2">
        <f t="shared" si="22"/>
        <v>0</v>
      </c>
      <c r="J120" s="3">
        <f>IF(G120-INT(G120)&lt;&gt;0,RIGHT(H120,2),)</f>
        <v>0</v>
      </c>
    </row>
    <row r="121" spans="1:10" ht="23.25">
      <c r="A121" s="1">
        <v>2854</v>
      </c>
      <c r="C121" s="1" t="str">
        <f>TEXT(A121,"#.#0")</f>
        <v>2854.0</v>
      </c>
      <c r="D121" s="2">
        <f t="shared" si="19"/>
        <v>2854</v>
      </c>
      <c r="E121" s="3">
        <f>IF(A121-INT(A121)&lt;&gt;0,RIGHT(C121,2),)</f>
        <v>0</v>
      </c>
      <c r="F121" s="8" t="s">
        <v>159</v>
      </c>
      <c r="H121" s="1" t="str">
        <f t="shared" si="21"/>
        <v>.0</v>
      </c>
      <c r="I121" s="2">
        <f t="shared" si="22"/>
        <v>0</v>
      </c>
      <c r="J121" s="3">
        <f>IF(G121-INT(G121)&lt;&gt;0,RIGHT(H121,2),)</f>
        <v>0</v>
      </c>
    </row>
    <row r="122" spans="1:10" ht="23.25">
      <c r="A122" s="1">
        <v>36000</v>
      </c>
      <c r="C122" s="1" t="str">
        <f t="shared" si="18"/>
        <v>36000.0</v>
      </c>
      <c r="D122" s="2">
        <f t="shared" si="19"/>
        <v>36000</v>
      </c>
      <c r="E122" s="3">
        <f t="shared" si="20"/>
        <v>0</v>
      </c>
      <c r="F122" s="8" t="s">
        <v>138</v>
      </c>
      <c r="H122" s="1" t="str">
        <f t="shared" si="21"/>
        <v>.0</v>
      </c>
      <c r="I122" s="2">
        <f t="shared" si="22"/>
        <v>0</v>
      </c>
      <c r="J122" s="3">
        <f t="shared" si="23"/>
        <v>0</v>
      </c>
    </row>
    <row r="123" spans="1:10" ht="23.25">
      <c r="A123" s="1">
        <v>75010</v>
      </c>
      <c r="C123" s="1" t="str">
        <f t="shared" si="18"/>
        <v>75010.0</v>
      </c>
      <c r="D123" s="2">
        <f t="shared" si="19"/>
        <v>75010</v>
      </c>
      <c r="E123" s="3">
        <f t="shared" si="20"/>
        <v>0</v>
      </c>
      <c r="F123" s="8" t="s">
        <v>146</v>
      </c>
      <c r="H123" s="1" t="str">
        <f t="shared" si="21"/>
        <v>.0</v>
      </c>
      <c r="I123" s="2">
        <f t="shared" si="22"/>
        <v>0</v>
      </c>
      <c r="J123" s="3">
        <f aca="true" t="shared" si="24" ref="J123:J129">IF(G123-INT(G123)&lt;&gt;0,RIGHT(H123,2),)</f>
        <v>0</v>
      </c>
    </row>
    <row r="124" spans="1:10" ht="23.25">
      <c r="A124" s="1">
        <v>72264</v>
      </c>
      <c r="C124" s="1" t="str">
        <f t="shared" si="18"/>
        <v>72264.0</v>
      </c>
      <c r="D124" s="2">
        <f t="shared" si="19"/>
        <v>72264</v>
      </c>
      <c r="E124" s="3">
        <f t="shared" si="20"/>
        <v>0</v>
      </c>
      <c r="F124" s="8" t="s">
        <v>151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34200</v>
      </c>
      <c r="C125" s="1" t="str">
        <f t="shared" si="18"/>
        <v>34200.0</v>
      </c>
      <c r="D125" s="2">
        <f t="shared" si="19"/>
        <v>34200</v>
      </c>
      <c r="E125" s="3">
        <f t="shared" si="20"/>
        <v>0</v>
      </c>
      <c r="F125" s="8" t="s">
        <v>201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1710</v>
      </c>
      <c r="C126" s="1" t="str">
        <f t="shared" si="18"/>
        <v>1710.0</v>
      </c>
      <c r="D126" s="2">
        <f t="shared" si="19"/>
        <v>1710</v>
      </c>
      <c r="E126" s="3">
        <f t="shared" si="20"/>
        <v>0</v>
      </c>
      <c r="F126" s="7" t="s">
        <v>202</v>
      </c>
      <c r="H126" s="1" t="str">
        <f t="shared" si="21"/>
        <v>.0</v>
      </c>
      <c r="I126" s="2">
        <f t="shared" si="22"/>
        <v>0</v>
      </c>
      <c r="J126" s="3">
        <f t="shared" si="24"/>
        <v>0</v>
      </c>
    </row>
    <row r="127" spans="3:10" ht="23.25">
      <c r="C127" s="1" t="str">
        <f>TEXT(A127,"#.#0")</f>
        <v>.0</v>
      </c>
      <c r="D127" s="2">
        <f t="shared" si="19"/>
        <v>0</v>
      </c>
      <c r="E127" s="3">
        <f>IF(A127-INT(A127)&lt;&gt;0,RIGHT(C127,2),)</f>
        <v>0</v>
      </c>
      <c r="F127" s="8" t="s">
        <v>141</v>
      </c>
      <c r="H127" s="1" t="str">
        <f t="shared" si="21"/>
        <v>.0</v>
      </c>
      <c r="I127" s="2">
        <f t="shared" si="22"/>
        <v>0</v>
      </c>
      <c r="J127" s="3">
        <f t="shared" si="24"/>
        <v>0</v>
      </c>
    </row>
    <row r="128" spans="1:10" ht="23.25">
      <c r="A128" s="1">
        <v>10500</v>
      </c>
      <c r="C128" s="1" t="str">
        <f>TEXT(A128,"#.#0")</f>
        <v>10500.0</v>
      </c>
      <c r="D128" s="2">
        <f t="shared" si="19"/>
        <v>10500</v>
      </c>
      <c r="E128" s="3">
        <f>IF(A128-INT(A128)&lt;&gt;0,RIGHT(C128,2),)</f>
        <v>0</v>
      </c>
      <c r="F128" s="8" t="s">
        <v>191</v>
      </c>
      <c r="H128" s="1" t="str">
        <f t="shared" si="21"/>
        <v>.0</v>
      </c>
      <c r="I128" s="2">
        <f t="shared" si="22"/>
        <v>0</v>
      </c>
      <c r="J128" s="3">
        <f>IF(G128-INT(G128)&lt;&gt;0,RIGHT(H128,2),)</f>
        <v>0</v>
      </c>
    </row>
    <row r="129" spans="1:10" ht="23.25">
      <c r="A129" s="1">
        <v>21000</v>
      </c>
      <c r="C129" s="1" t="str">
        <f>TEXT(A129,"#.#0")</f>
        <v>21000.0</v>
      </c>
      <c r="D129" s="2">
        <f t="shared" si="19"/>
        <v>21000</v>
      </c>
      <c r="E129" s="3">
        <f>IF(A129-INT(A129)&lt;&gt;0,RIGHT(C129,2),)</f>
        <v>0</v>
      </c>
      <c r="F129" s="8" t="s">
        <v>196</v>
      </c>
      <c r="H129" s="1" t="str">
        <f t="shared" si="21"/>
        <v>.0</v>
      </c>
      <c r="I129" s="2">
        <f t="shared" si="22"/>
        <v>0</v>
      </c>
      <c r="J129" s="3">
        <f t="shared" si="24"/>
        <v>0</v>
      </c>
    </row>
    <row r="130" spans="1:10" ht="23.25">
      <c r="A130" s="1">
        <v>14140</v>
      </c>
      <c r="C130" s="1" t="str">
        <f t="shared" si="2"/>
        <v>14140.0</v>
      </c>
      <c r="D130" s="2">
        <f t="shared" si="4"/>
        <v>14140</v>
      </c>
      <c r="E130" s="3">
        <f t="shared" si="20"/>
        <v>0</v>
      </c>
      <c r="F130" s="7" t="s">
        <v>154</v>
      </c>
      <c r="H130" s="1" t="str">
        <f t="shared" si="14"/>
        <v>.0</v>
      </c>
      <c r="I130" s="2">
        <f t="shared" si="3"/>
        <v>0</v>
      </c>
      <c r="J130" s="3">
        <f aca="true" t="shared" si="25" ref="J130:J141">IF(G130-INT(G130)&lt;&gt;0,RIGHT(H130,2),)</f>
        <v>0</v>
      </c>
    </row>
    <row r="131" spans="3:10" ht="23.25">
      <c r="C131" s="1" t="str">
        <f t="shared" si="2"/>
        <v>.0</v>
      </c>
      <c r="D131" s="2">
        <f t="shared" si="4"/>
        <v>0</v>
      </c>
      <c r="E131" s="3">
        <f t="shared" si="20"/>
        <v>0</v>
      </c>
      <c r="F131" s="7" t="s">
        <v>149</v>
      </c>
      <c r="H131" s="1" t="str">
        <f t="shared" si="14"/>
        <v>.0</v>
      </c>
      <c r="I131" s="2">
        <f t="shared" si="3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4"/>
        <v>0</v>
      </c>
      <c r="E132" s="3">
        <f t="shared" si="20"/>
        <v>0</v>
      </c>
      <c r="F132" s="7" t="s">
        <v>150</v>
      </c>
      <c r="H132" s="1" t="str">
        <f t="shared" si="14"/>
        <v>.0</v>
      </c>
      <c r="I132" s="2">
        <f t="shared" si="3"/>
        <v>0</v>
      </c>
      <c r="J132" s="3">
        <f t="shared" si="25"/>
        <v>0</v>
      </c>
    </row>
    <row r="133" spans="1:10" ht="23.25">
      <c r="A133" s="1">
        <v>5800</v>
      </c>
      <c r="C133" s="1" t="str">
        <f t="shared" si="2"/>
        <v>5800.0</v>
      </c>
      <c r="D133" s="2">
        <f t="shared" si="4"/>
        <v>5800</v>
      </c>
      <c r="E133" s="3">
        <f t="shared" si="20"/>
        <v>0</v>
      </c>
      <c r="F133" s="7" t="s">
        <v>240</v>
      </c>
      <c r="H133" s="1" t="str">
        <f t="shared" si="14"/>
        <v>.0</v>
      </c>
      <c r="I133" s="2"/>
      <c r="J133" s="3"/>
    </row>
    <row r="134" spans="3:10" ht="23.25">
      <c r="C134" s="1" t="str">
        <f t="shared" si="2"/>
        <v>.0</v>
      </c>
      <c r="D134" s="2">
        <f t="shared" si="4"/>
        <v>0</v>
      </c>
      <c r="E134" s="3">
        <f t="shared" si="20"/>
        <v>0</v>
      </c>
      <c r="F134" s="7" t="s">
        <v>151</v>
      </c>
      <c r="H134" s="1" t="str">
        <f t="shared" si="14"/>
        <v>.0</v>
      </c>
      <c r="I134" s="2">
        <f t="shared" si="3"/>
        <v>0</v>
      </c>
      <c r="J134" s="3">
        <f t="shared" si="25"/>
        <v>0</v>
      </c>
    </row>
    <row r="135" spans="1:10" ht="23.25">
      <c r="A135" s="1">
        <v>93108</v>
      </c>
      <c r="C135" s="1" t="str">
        <f t="shared" si="2"/>
        <v>93108.0</v>
      </c>
      <c r="D135" s="2">
        <f t="shared" si="4"/>
        <v>93108</v>
      </c>
      <c r="E135" s="3">
        <f t="shared" si="20"/>
        <v>0</v>
      </c>
      <c r="F135" s="7" t="s">
        <v>235</v>
      </c>
      <c r="G135" s="1">
        <v>93108</v>
      </c>
      <c r="H135" s="1" t="str">
        <f t="shared" si="14"/>
        <v>93108.0</v>
      </c>
      <c r="I135" s="2">
        <f t="shared" si="3"/>
        <v>93108</v>
      </c>
      <c r="J135" s="3">
        <f t="shared" si="25"/>
        <v>0</v>
      </c>
    </row>
    <row r="136" spans="1:10" ht="23.25">
      <c r="A136" s="1">
        <v>6030000</v>
      </c>
      <c r="C136" s="1" t="str">
        <f t="shared" si="2"/>
        <v>6030000.0</v>
      </c>
      <c r="D136" s="2">
        <f t="shared" si="4"/>
        <v>6030000</v>
      </c>
      <c r="E136" s="3">
        <f t="shared" si="20"/>
        <v>0</v>
      </c>
      <c r="F136" s="7" t="s">
        <v>236</v>
      </c>
      <c r="G136" s="1">
        <v>6030000</v>
      </c>
      <c r="H136" s="1" t="str">
        <f t="shared" si="14"/>
        <v>6030000.0</v>
      </c>
      <c r="I136" s="2">
        <f t="shared" si="3"/>
        <v>6030000</v>
      </c>
      <c r="J136" s="3">
        <f t="shared" si="25"/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/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2" ht="23.25">
      <c r="A139" s="1">
        <f>SUM(A70:A138)</f>
        <v>245253455.56000003</v>
      </c>
      <c r="C139" s="87" t="str">
        <f>TEXT(A139,"#.#0")</f>
        <v>245253455.56</v>
      </c>
      <c r="D139" s="2">
        <f t="shared" si="4"/>
        <v>245253455</v>
      </c>
      <c r="E139" s="3" t="str">
        <f t="shared" si="20"/>
        <v>56</v>
      </c>
      <c r="F139" s="55" t="s">
        <v>22</v>
      </c>
      <c r="G139" s="1">
        <f>SUM(G70:G137)</f>
        <v>30581072.799999997</v>
      </c>
      <c r="H139" s="1" t="str">
        <f>TEXT(G139,"#.#0")</f>
        <v>30581072.80</v>
      </c>
      <c r="I139" s="2">
        <f t="shared" si="3"/>
        <v>30581072</v>
      </c>
      <c r="J139" s="3" t="str">
        <f t="shared" si="25"/>
        <v>80</v>
      </c>
      <c r="L139" s="1">
        <v>56793652.35</v>
      </c>
    </row>
    <row r="140" spans="1:10" ht="23.25">
      <c r="A140" s="1">
        <f>A68-A139</f>
        <v>-12200773.170000017</v>
      </c>
      <c r="C140" s="1" t="str">
        <f t="shared" si="2"/>
        <v>-12200773.17</v>
      </c>
      <c r="D140" s="2">
        <f>INT(C140)+1</f>
        <v>-12200773</v>
      </c>
      <c r="E140" s="3" t="str">
        <f>IF(A140-INT(A140)&lt;&gt;0,RIGHT(C140,2),)</f>
        <v>17</v>
      </c>
      <c r="G140" s="1">
        <f>+G68-G139</f>
        <v>-10901634.119999994</v>
      </c>
      <c r="H140" s="1" t="str">
        <f>TEXT(G140,"#.#0")</f>
        <v>-10901634.12</v>
      </c>
      <c r="I140" s="2">
        <f>INT(H140)+1</f>
        <v>-10901634</v>
      </c>
      <c r="J140" s="3" t="str">
        <f t="shared" si="25"/>
        <v>12</v>
      </c>
    </row>
    <row r="141" spans="1:12" ht="23.25">
      <c r="A141" s="1">
        <f>A1+A140</f>
        <v>45892018.22999998</v>
      </c>
      <c r="C141" s="1" t="str">
        <f t="shared" si="2"/>
        <v>45892018.23</v>
      </c>
      <c r="D141" s="2">
        <f t="shared" si="4"/>
        <v>45892018</v>
      </c>
      <c r="E141" s="3" t="str">
        <f t="shared" si="20"/>
        <v>23</v>
      </c>
      <c r="G141" s="1">
        <f>G1+G140</f>
        <v>34990384.11</v>
      </c>
      <c r="H141" s="1" t="str">
        <f>TEXT(G141,"#.#0")</f>
        <v>34990384.11</v>
      </c>
      <c r="I141" s="2">
        <f t="shared" si="3"/>
        <v>34990384</v>
      </c>
      <c r="J141" s="3" t="str">
        <f t="shared" si="25"/>
        <v>11</v>
      </c>
      <c r="L141" s="1">
        <f>+L139-G141</f>
        <v>21803268.240000002</v>
      </c>
    </row>
    <row r="143" ht="21.75">
      <c r="L143" t="s">
        <v>203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124" zoomScaleSheetLayoutView="124" zoomScalePageLayoutView="0" workbookViewId="0" topLeftCell="A22">
      <selection activeCell="F29" sqref="F29"/>
    </sheetView>
  </sheetViews>
  <sheetFormatPr defaultColWidth="9.140625" defaultRowHeight="21.75" customHeight="1"/>
  <cols>
    <col min="1" max="1" width="5.7109375" style="22" customWidth="1"/>
    <col min="2" max="2" width="7.7109375" style="22" customWidth="1"/>
    <col min="3" max="3" width="49.7109375" style="22" customWidth="1"/>
    <col min="4" max="4" width="10.00390625" style="22" customWidth="1"/>
    <col min="5" max="5" width="18.421875" style="22" customWidth="1"/>
    <col min="6" max="6" width="19.140625" style="22" customWidth="1"/>
    <col min="7" max="7" width="9.140625" style="22" customWidth="1"/>
    <col min="8" max="9" width="16.421875" style="22" bestFit="1" customWidth="1"/>
    <col min="10" max="16384" width="9.140625" style="22" customWidth="1"/>
  </cols>
  <sheetData>
    <row r="1" spans="1:6" ht="23.25" customHeight="1">
      <c r="A1" s="175" t="s">
        <v>180</v>
      </c>
      <c r="B1" s="175"/>
      <c r="C1" s="175"/>
      <c r="D1" s="175"/>
      <c r="E1" s="175"/>
      <c r="F1" s="175"/>
    </row>
    <row r="2" spans="1:6" ht="23.25" customHeight="1">
      <c r="A2" s="175" t="s">
        <v>39</v>
      </c>
      <c r="B2" s="175"/>
      <c r="C2" s="175"/>
      <c r="D2" s="175"/>
      <c r="E2" s="175"/>
      <c r="F2" s="175"/>
    </row>
    <row r="3" spans="1:6" ht="23.25" customHeight="1">
      <c r="A3" s="176" t="s">
        <v>334</v>
      </c>
      <c r="B3" s="176"/>
      <c r="C3" s="176"/>
      <c r="D3" s="176"/>
      <c r="E3" s="176"/>
      <c r="F3" s="176"/>
    </row>
    <row r="4" spans="1:6" ht="23.25" customHeight="1">
      <c r="A4" s="177" t="s">
        <v>4</v>
      </c>
      <c r="B4" s="178"/>
      <c r="C4" s="179"/>
      <c r="D4" s="39" t="s">
        <v>40</v>
      </c>
      <c r="E4" s="39" t="s">
        <v>41</v>
      </c>
      <c r="F4" s="39" t="s">
        <v>42</v>
      </c>
    </row>
    <row r="5" spans="1:6" ht="22.5" customHeight="1" hidden="1">
      <c r="A5" s="145" t="s">
        <v>255</v>
      </c>
      <c r="B5" s="146"/>
      <c r="C5" s="147"/>
      <c r="D5" s="40">
        <v>111100</v>
      </c>
      <c r="E5" s="35">
        <v>0</v>
      </c>
      <c r="F5" s="41"/>
    </row>
    <row r="6" spans="1:9" ht="22.5" customHeight="1">
      <c r="A6" s="148" t="s">
        <v>43</v>
      </c>
      <c r="B6" s="149"/>
      <c r="C6" s="150"/>
      <c r="D6" s="42" t="s">
        <v>314</v>
      </c>
      <c r="E6" s="23">
        <v>56470525.33</v>
      </c>
      <c r="F6" s="23"/>
      <c r="H6" s="90"/>
      <c r="I6" s="56"/>
    </row>
    <row r="7" spans="1:9" ht="22.5" customHeight="1">
      <c r="A7" s="43" t="s">
        <v>66</v>
      </c>
      <c r="B7" s="44"/>
      <c r="C7" s="45"/>
      <c r="D7" s="42" t="s">
        <v>314</v>
      </c>
      <c r="E7" s="23">
        <v>137018.77</v>
      </c>
      <c r="F7" s="23"/>
      <c r="H7" s="90" t="s">
        <v>256</v>
      </c>
      <c r="I7" s="56"/>
    </row>
    <row r="8" spans="1:9" ht="22.5" customHeight="1">
      <c r="A8" s="43" t="s">
        <v>64</v>
      </c>
      <c r="B8" s="44"/>
      <c r="C8" s="45"/>
      <c r="D8" s="42" t="s">
        <v>315</v>
      </c>
      <c r="E8" s="23">
        <v>5430875.23</v>
      </c>
      <c r="F8" s="23"/>
      <c r="H8" s="90"/>
      <c r="I8" s="56"/>
    </row>
    <row r="9" spans="1:9" ht="22.5" customHeight="1">
      <c r="A9" s="43" t="s">
        <v>60</v>
      </c>
      <c r="B9" s="44"/>
      <c r="C9" s="45"/>
      <c r="D9" s="42" t="s">
        <v>316</v>
      </c>
      <c r="E9" s="23">
        <v>13673425.89</v>
      </c>
      <c r="F9" s="23"/>
      <c r="H9" s="90"/>
      <c r="I9" s="56"/>
    </row>
    <row r="10" spans="1:9" ht="22.5" customHeight="1">
      <c r="A10" s="43" t="s">
        <v>127</v>
      </c>
      <c r="B10" s="44"/>
      <c r="C10" s="45"/>
      <c r="D10" s="42" t="s">
        <v>314</v>
      </c>
      <c r="E10" s="23">
        <v>553826.65</v>
      </c>
      <c r="F10" s="23"/>
      <c r="H10" s="90"/>
      <c r="I10" s="56"/>
    </row>
    <row r="11" spans="1:9" ht="22.5" customHeight="1">
      <c r="A11" s="43" t="s">
        <v>128</v>
      </c>
      <c r="B11" s="44"/>
      <c r="C11" s="45"/>
      <c r="D11" s="42" t="s">
        <v>315</v>
      </c>
      <c r="E11" s="23">
        <v>10000000</v>
      </c>
      <c r="F11" s="23"/>
      <c r="H11" s="90"/>
      <c r="I11" s="56"/>
    </row>
    <row r="12" spans="1:9" ht="22.5" customHeight="1">
      <c r="A12" s="43" t="s">
        <v>144</v>
      </c>
      <c r="B12" s="44"/>
      <c r="C12" s="45"/>
      <c r="D12" s="42" t="s">
        <v>314</v>
      </c>
      <c r="E12" s="23">
        <v>557842.71</v>
      </c>
      <c r="F12" s="23"/>
      <c r="H12" s="90">
        <f>+E12+E11+E10+E9+E8+E7+E6</f>
        <v>86823514.58</v>
      </c>
      <c r="I12" s="56"/>
    </row>
    <row r="13" spans="1:9" ht="22.5" customHeight="1">
      <c r="A13" s="47" t="s">
        <v>28</v>
      </c>
      <c r="B13" s="48"/>
      <c r="C13" s="49"/>
      <c r="D13" s="63" t="s">
        <v>308</v>
      </c>
      <c r="E13" s="60">
        <v>9141700.08</v>
      </c>
      <c r="F13" s="23"/>
      <c r="I13" s="56"/>
    </row>
    <row r="14" spans="1:6" ht="22.5" customHeight="1">
      <c r="A14" s="43" t="s">
        <v>106</v>
      </c>
      <c r="B14" s="44"/>
      <c r="C14" s="45"/>
      <c r="D14" s="42" t="s">
        <v>325</v>
      </c>
      <c r="E14" s="23">
        <v>88852383</v>
      </c>
      <c r="F14" s="23"/>
    </row>
    <row r="15" spans="1:6" ht="22.5" customHeight="1" hidden="1">
      <c r="A15" s="43" t="s">
        <v>95</v>
      </c>
      <c r="B15" s="44"/>
      <c r="C15" s="45"/>
      <c r="D15" s="42" t="s">
        <v>174</v>
      </c>
      <c r="E15" s="23"/>
      <c r="F15" s="23"/>
    </row>
    <row r="16" spans="1:6" ht="22.5" customHeight="1">
      <c r="A16" s="43" t="s">
        <v>37</v>
      </c>
      <c r="B16" s="44"/>
      <c r="C16" s="45"/>
      <c r="D16" s="42" t="s">
        <v>284</v>
      </c>
      <c r="E16" s="23">
        <v>46351</v>
      </c>
      <c r="F16" s="23"/>
    </row>
    <row r="17" spans="1:6" ht="22.5" customHeight="1" hidden="1">
      <c r="A17" s="43" t="s">
        <v>257</v>
      </c>
      <c r="B17" s="44"/>
      <c r="C17" s="45"/>
      <c r="D17" s="42" t="s">
        <v>168</v>
      </c>
      <c r="E17" s="23"/>
      <c r="F17" s="23"/>
    </row>
    <row r="18" spans="1:6" ht="22.5" customHeight="1">
      <c r="A18" s="43" t="s">
        <v>65</v>
      </c>
      <c r="B18" s="44"/>
      <c r="C18" s="45"/>
      <c r="D18" s="42" t="s">
        <v>286</v>
      </c>
      <c r="E18" s="23">
        <v>29000</v>
      </c>
      <c r="F18" s="23"/>
    </row>
    <row r="19" spans="1:6" ht="22.5" customHeight="1">
      <c r="A19" s="43" t="s">
        <v>54</v>
      </c>
      <c r="B19" s="44"/>
      <c r="C19" s="45"/>
      <c r="D19" s="42" t="s">
        <v>287</v>
      </c>
      <c r="E19" s="23">
        <v>292520</v>
      </c>
      <c r="F19" s="23"/>
    </row>
    <row r="20" spans="1:6" ht="22.5" customHeight="1">
      <c r="A20" s="43" t="s">
        <v>92</v>
      </c>
      <c r="B20" s="44"/>
      <c r="C20" s="45"/>
      <c r="D20" s="42" t="s">
        <v>288</v>
      </c>
      <c r="E20" s="60">
        <v>450700</v>
      </c>
      <c r="F20" s="23"/>
    </row>
    <row r="21" spans="1:6" ht="22.5" customHeight="1" hidden="1">
      <c r="A21" s="43" t="s">
        <v>178</v>
      </c>
      <c r="B21" s="44"/>
      <c r="C21" s="45"/>
      <c r="D21" s="42" t="s">
        <v>170</v>
      </c>
      <c r="E21" s="60"/>
      <c r="F21" s="23"/>
    </row>
    <row r="22" spans="1:6" ht="22.5" customHeight="1">
      <c r="A22" s="43" t="s">
        <v>274</v>
      </c>
      <c r="B22" s="44"/>
      <c r="C22" s="45"/>
      <c r="D22" s="42" t="s">
        <v>289</v>
      </c>
      <c r="E22" s="60">
        <v>0</v>
      </c>
      <c r="F22" s="23"/>
    </row>
    <row r="23" spans="1:6" ht="22.5" customHeight="1">
      <c r="A23" s="43" t="s">
        <v>14</v>
      </c>
      <c r="B23" s="44"/>
      <c r="C23" s="45"/>
      <c r="D23" s="42" t="s">
        <v>312</v>
      </c>
      <c r="E23" s="23">
        <v>22459422.01</v>
      </c>
      <c r="F23" s="23"/>
    </row>
    <row r="24" spans="1:7" ht="22.5" customHeight="1">
      <c r="A24" s="43" t="s">
        <v>120</v>
      </c>
      <c r="B24" s="44"/>
      <c r="C24" s="45"/>
      <c r="D24" s="42" t="s">
        <v>313</v>
      </c>
      <c r="E24" s="23">
        <v>1196790</v>
      </c>
      <c r="F24" s="23"/>
      <c r="G24" s="22" t="s">
        <v>224</v>
      </c>
    </row>
    <row r="25" spans="1:7" ht="22.5" customHeight="1">
      <c r="A25" s="43" t="s">
        <v>179</v>
      </c>
      <c r="B25" s="44"/>
      <c r="C25" s="45"/>
      <c r="D25" s="42" t="s">
        <v>309</v>
      </c>
      <c r="E25" s="23">
        <v>14787708.85</v>
      </c>
      <c r="F25" s="23"/>
      <c r="G25" s="22" t="s">
        <v>224</v>
      </c>
    </row>
    <row r="26" spans="1:8" ht="22.5" customHeight="1">
      <c r="A26" s="43" t="s">
        <v>182</v>
      </c>
      <c r="B26" s="44"/>
      <c r="C26" s="45"/>
      <c r="D26" s="42" t="s">
        <v>309</v>
      </c>
      <c r="E26" s="23">
        <v>585760</v>
      </c>
      <c r="F26" s="23"/>
      <c r="G26" s="22" t="s">
        <v>224</v>
      </c>
      <c r="H26" s="56">
        <f>+E25+E26+E27</f>
        <v>38389151.03</v>
      </c>
    </row>
    <row r="27" spans="1:8" ht="22.5" customHeight="1">
      <c r="A27" s="43" t="s">
        <v>183</v>
      </c>
      <c r="B27" s="44"/>
      <c r="C27" s="45"/>
      <c r="D27" s="42" t="s">
        <v>309</v>
      </c>
      <c r="E27" s="23">
        <v>23015682.18</v>
      </c>
      <c r="F27" s="23"/>
      <c r="G27" s="22" t="s">
        <v>224</v>
      </c>
      <c r="H27" s="56"/>
    </row>
    <row r="28" spans="1:8" ht="22.5" customHeight="1">
      <c r="A28" s="43" t="s">
        <v>15</v>
      </c>
      <c r="B28" s="44"/>
      <c r="C28" s="45"/>
      <c r="D28" s="42" t="s">
        <v>297</v>
      </c>
      <c r="E28" s="23">
        <v>1312922.13</v>
      </c>
      <c r="F28" s="23"/>
      <c r="H28" s="56">
        <f>+E23+E24+E25+E26+E27+E28+E29+E30+E31</f>
        <v>79636403.98</v>
      </c>
    </row>
    <row r="29" spans="1:6" ht="22.5" customHeight="1">
      <c r="A29" s="43" t="s">
        <v>16</v>
      </c>
      <c r="B29" s="44"/>
      <c r="C29" s="45"/>
      <c r="D29" s="42" t="s">
        <v>301</v>
      </c>
      <c r="E29" s="23">
        <v>10014941.42</v>
      </c>
      <c r="F29" s="23"/>
    </row>
    <row r="30" spans="1:6" ht="22.5" customHeight="1">
      <c r="A30" s="43" t="s">
        <v>17</v>
      </c>
      <c r="B30" s="44"/>
      <c r="C30" s="45"/>
      <c r="D30" s="42" t="s">
        <v>299</v>
      </c>
      <c r="E30" s="23">
        <v>5129035.9</v>
      </c>
      <c r="F30" s="23"/>
    </row>
    <row r="31" spans="1:6" ht="22.5" customHeight="1">
      <c r="A31" s="43" t="s">
        <v>18</v>
      </c>
      <c r="B31" s="44"/>
      <c r="C31" s="45"/>
      <c r="D31" s="42" t="s">
        <v>302</v>
      </c>
      <c r="E31" s="23">
        <v>1134141.49</v>
      </c>
      <c r="F31" s="23"/>
    </row>
    <row r="32" spans="1:6" ht="22.5" customHeight="1">
      <c r="A32" s="43" t="s">
        <v>19</v>
      </c>
      <c r="B32" s="44"/>
      <c r="C32" s="45"/>
      <c r="D32" s="42" t="s">
        <v>322</v>
      </c>
      <c r="E32" s="23">
        <v>569201.13</v>
      </c>
      <c r="F32" s="23"/>
    </row>
    <row r="33" spans="1:8" ht="22.5" customHeight="1">
      <c r="A33" s="37" t="s">
        <v>317</v>
      </c>
      <c r="B33" s="46"/>
      <c r="C33" s="45"/>
      <c r="D33" s="161" t="s">
        <v>318</v>
      </c>
      <c r="E33" s="23">
        <v>95900</v>
      </c>
      <c r="F33" s="23"/>
      <c r="H33" s="56">
        <f>+E33+E32</f>
        <v>665101.13</v>
      </c>
    </row>
    <row r="34" spans="1:6" ht="22.5" customHeight="1">
      <c r="A34" s="111" t="s">
        <v>20</v>
      </c>
      <c r="B34" s="46"/>
      <c r="C34" s="45"/>
      <c r="D34" s="36" t="s">
        <v>327</v>
      </c>
      <c r="E34" s="23">
        <v>12486600</v>
      </c>
      <c r="F34" s="23"/>
    </row>
    <row r="35" spans="1:8" ht="22.5" customHeight="1">
      <c r="A35" s="37" t="s">
        <v>10</v>
      </c>
      <c r="B35" s="46"/>
      <c r="C35" s="45"/>
      <c r="D35" s="36" t="s">
        <v>328</v>
      </c>
      <c r="E35" s="23">
        <v>2035150</v>
      </c>
      <c r="F35" s="23"/>
      <c r="H35" s="56">
        <f>+E35+E34+E32+E31+E30+E29+E28+E27+E26+E25+E24+E23</f>
        <v>94727355.11</v>
      </c>
    </row>
    <row r="36" spans="1:6" ht="22.5" customHeight="1" hidden="1">
      <c r="A36" s="37" t="s">
        <v>147</v>
      </c>
      <c r="B36" s="46"/>
      <c r="C36" s="45"/>
      <c r="D36" s="36" t="s">
        <v>148</v>
      </c>
      <c r="E36" s="23"/>
      <c r="F36" s="23"/>
    </row>
    <row r="37" spans="1:6" ht="22.5" customHeight="1">
      <c r="A37" s="37" t="s">
        <v>276</v>
      </c>
      <c r="B37" s="46"/>
      <c r="C37" s="45"/>
      <c r="D37" s="36" t="s">
        <v>329</v>
      </c>
      <c r="E37" s="23">
        <v>450700</v>
      </c>
      <c r="F37" s="23"/>
    </row>
    <row r="38" spans="1:6" ht="22.5" customHeight="1">
      <c r="A38" s="37" t="s">
        <v>258</v>
      </c>
      <c r="B38" s="46"/>
      <c r="C38" s="45"/>
      <c r="D38" s="84" t="s">
        <v>330</v>
      </c>
      <c r="E38" s="23" t="s">
        <v>203</v>
      </c>
      <c r="F38" s="23">
        <v>0</v>
      </c>
    </row>
    <row r="39" spans="1:9" ht="22.5" customHeight="1">
      <c r="A39" s="43"/>
      <c r="B39" s="44" t="s">
        <v>104</v>
      </c>
      <c r="C39" s="45"/>
      <c r="D39" s="42" t="s">
        <v>331</v>
      </c>
      <c r="E39" s="23"/>
      <c r="F39" s="23">
        <v>146911924.15</v>
      </c>
      <c r="H39" s="22" t="s">
        <v>210</v>
      </c>
      <c r="I39" s="56"/>
    </row>
    <row r="40" spans="1:8" ht="22.5" customHeight="1">
      <c r="A40" s="47"/>
      <c r="B40" s="48" t="s">
        <v>59</v>
      </c>
      <c r="C40" s="49"/>
      <c r="D40" s="161" t="s">
        <v>320</v>
      </c>
      <c r="E40" s="23"/>
      <c r="F40" s="112">
        <f>+หมายเหตุ!E32</f>
        <v>3567549.17</v>
      </c>
      <c r="H40" s="22" t="s">
        <v>216</v>
      </c>
    </row>
    <row r="41" spans="1:6" ht="22.5" customHeight="1" hidden="1">
      <c r="A41" s="47"/>
      <c r="B41" s="48" t="s">
        <v>172</v>
      </c>
      <c r="C41" s="49"/>
      <c r="D41" s="42" t="s">
        <v>173</v>
      </c>
      <c r="E41" s="23"/>
      <c r="F41" s="23">
        <v>0</v>
      </c>
    </row>
    <row r="42" spans="1:6" ht="22.5" customHeight="1">
      <c r="A42" s="47"/>
      <c r="B42" s="48" t="s">
        <v>21</v>
      </c>
      <c r="C42" s="49"/>
      <c r="D42" s="42" t="s">
        <v>293</v>
      </c>
      <c r="E42" s="23"/>
      <c r="F42" s="23">
        <v>0</v>
      </c>
    </row>
    <row r="43" spans="1:6" ht="22.5" customHeight="1" hidden="1">
      <c r="A43" s="47"/>
      <c r="B43" s="48" t="s">
        <v>77</v>
      </c>
      <c r="C43" s="49"/>
      <c r="D43" s="42" t="s">
        <v>171</v>
      </c>
      <c r="E43" s="23"/>
      <c r="F43" s="23"/>
    </row>
    <row r="44" spans="1:6" ht="22.5" customHeight="1" hidden="1">
      <c r="A44" s="47"/>
      <c r="B44" s="48" t="s">
        <v>259</v>
      </c>
      <c r="C44" s="49"/>
      <c r="D44" s="42" t="s">
        <v>176</v>
      </c>
      <c r="E44" s="23"/>
      <c r="F44" s="23"/>
    </row>
    <row r="45" spans="1:6" ht="22.5" customHeight="1">
      <c r="A45" s="47"/>
      <c r="B45" s="48" t="s">
        <v>105</v>
      </c>
      <c r="C45" s="49"/>
      <c r="D45" s="42" t="s">
        <v>292</v>
      </c>
      <c r="E45" s="23"/>
      <c r="F45" s="23">
        <v>28507322.96</v>
      </c>
    </row>
    <row r="46" spans="1:6" ht="22.5" customHeight="1">
      <c r="A46" s="47"/>
      <c r="B46" s="48" t="s">
        <v>277</v>
      </c>
      <c r="C46" s="49"/>
      <c r="D46" s="42" t="s">
        <v>332</v>
      </c>
      <c r="E46" s="23"/>
      <c r="F46" s="23">
        <v>450700</v>
      </c>
    </row>
    <row r="47" spans="1:6" ht="22.5" customHeight="1">
      <c r="A47" s="47"/>
      <c r="B47" s="48" t="s">
        <v>12</v>
      </c>
      <c r="C47" s="49"/>
      <c r="D47" s="63" t="s">
        <v>290</v>
      </c>
      <c r="E47" s="60"/>
      <c r="F47" s="60">
        <v>73060436.49</v>
      </c>
    </row>
    <row r="48" spans="1:6" ht="22.5" customHeight="1">
      <c r="A48" s="151"/>
      <c r="B48" s="48" t="s">
        <v>69</v>
      </c>
      <c r="C48" s="49"/>
      <c r="D48" s="143" t="s">
        <v>291</v>
      </c>
      <c r="E48" s="67"/>
      <c r="F48" s="67">
        <v>28412191</v>
      </c>
    </row>
    <row r="49" spans="1:8" ht="22.5" customHeight="1" thickBot="1">
      <c r="A49" s="152"/>
      <c r="B49" s="153"/>
      <c r="C49" s="154"/>
      <c r="D49" s="144"/>
      <c r="E49" s="155">
        <f>SUM(E6:E37)</f>
        <v>280910123.77</v>
      </c>
      <c r="F49" s="155">
        <f>SUM(F39:F48)</f>
        <v>280910123.77</v>
      </c>
      <c r="H49" s="56">
        <f>+F49-E49</f>
        <v>0</v>
      </c>
    </row>
    <row r="50" spans="1:10" s="19" customFormat="1" ht="20.25" customHeight="1" thickTop="1">
      <c r="A50" s="165"/>
      <c r="B50" s="165"/>
      <c r="C50" s="165"/>
      <c r="D50" s="165"/>
      <c r="E50" s="166" t="s">
        <v>203</v>
      </c>
      <c r="F50" s="165" t="s">
        <v>203</v>
      </c>
      <c r="G50" s="61"/>
      <c r="H50" s="61"/>
      <c r="J50" s="38"/>
    </row>
    <row r="51" spans="1:8" ht="22.5" customHeight="1">
      <c r="A51" s="174"/>
      <c r="B51" s="174"/>
      <c r="C51" s="174"/>
      <c r="D51" s="167"/>
      <c r="E51" s="167"/>
      <c r="F51" s="167"/>
      <c r="G51" s="50"/>
      <c r="H51" s="50"/>
    </row>
    <row r="52" spans="1:8" ht="22.5" customHeight="1">
      <c r="A52" s="168"/>
      <c r="B52" s="168"/>
      <c r="C52" s="168"/>
      <c r="D52" s="169"/>
      <c r="E52" s="170"/>
      <c r="F52" s="170"/>
      <c r="G52" s="50"/>
      <c r="H52" s="50"/>
    </row>
    <row r="53" spans="1:8" ht="22.5" customHeight="1">
      <c r="A53" s="168"/>
      <c r="B53" s="171"/>
      <c r="C53" s="168"/>
      <c r="D53" s="52"/>
      <c r="E53" s="170"/>
      <c r="F53" s="170"/>
      <c r="G53" s="50"/>
      <c r="H53" s="50"/>
    </row>
    <row r="54" spans="1:8" ht="22.5" customHeight="1">
      <c r="A54" s="168"/>
      <c r="B54" s="171"/>
      <c r="C54" s="168"/>
      <c r="D54" s="52"/>
      <c r="E54" s="170"/>
      <c r="F54" s="170"/>
      <c r="G54" s="50"/>
      <c r="H54" s="50"/>
    </row>
    <row r="55" spans="1:8" ht="22.5" customHeight="1">
      <c r="A55" s="168"/>
      <c r="B55" s="171"/>
      <c r="C55" s="168"/>
      <c r="D55" s="52"/>
      <c r="E55" s="170"/>
      <c r="F55" s="170"/>
      <c r="G55" s="50"/>
      <c r="H55" s="50"/>
    </row>
    <row r="56" spans="1:8" ht="22.5" customHeight="1">
      <c r="A56" s="168"/>
      <c r="B56" s="171"/>
      <c r="C56" s="168"/>
      <c r="D56" s="52"/>
      <c r="E56" s="170"/>
      <c r="F56" s="170"/>
      <c r="G56" s="50"/>
      <c r="H56" s="50"/>
    </row>
    <row r="57" spans="1:8" ht="22.5" customHeight="1">
      <c r="A57" s="168"/>
      <c r="B57" s="171"/>
      <c r="C57" s="168"/>
      <c r="D57" s="52"/>
      <c r="E57" s="170"/>
      <c r="F57" s="170"/>
      <c r="G57" s="50"/>
      <c r="H57" s="50"/>
    </row>
    <row r="58" spans="1:8" ht="22.5" customHeight="1">
      <c r="A58" s="168"/>
      <c r="B58" s="171"/>
      <c r="C58" s="168"/>
      <c r="D58" s="52"/>
      <c r="E58" s="170"/>
      <c r="F58" s="170"/>
      <c r="G58" s="50"/>
      <c r="H58" s="50"/>
    </row>
    <row r="59" spans="1:8" ht="22.5" customHeight="1">
      <c r="A59" s="168"/>
      <c r="B59" s="171"/>
      <c r="C59" s="168"/>
      <c r="D59" s="52"/>
      <c r="E59" s="170"/>
      <c r="F59" s="170"/>
      <c r="G59" s="50"/>
      <c r="H59" s="50"/>
    </row>
    <row r="60" spans="1:8" ht="22.5" customHeight="1">
      <c r="A60" s="168"/>
      <c r="B60" s="171"/>
      <c r="C60" s="168"/>
      <c r="D60" s="52"/>
      <c r="E60" s="170"/>
      <c r="F60" s="170"/>
      <c r="G60" s="50"/>
      <c r="H60" s="50"/>
    </row>
    <row r="61" spans="1:8" ht="22.5" customHeight="1">
      <c r="A61" s="168"/>
      <c r="B61" s="171"/>
      <c r="C61" s="168"/>
      <c r="D61" s="52"/>
      <c r="E61" s="170"/>
      <c r="F61" s="170"/>
      <c r="G61" s="50"/>
      <c r="H61" s="50"/>
    </row>
    <row r="62" spans="1:8" ht="22.5" customHeight="1">
      <c r="A62" s="168"/>
      <c r="B62" s="171"/>
      <c r="C62" s="168"/>
      <c r="D62" s="52"/>
      <c r="E62" s="170"/>
      <c r="F62" s="170"/>
      <c r="G62" s="50"/>
      <c r="H62" s="50"/>
    </row>
    <row r="63" spans="1:8" ht="22.5" customHeight="1">
      <c r="A63" s="168"/>
      <c r="B63" s="171"/>
      <c r="C63" s="168"/>
      <c r="D63" s="52"/>
      <c r="E63" s="170"/>
      <c r="F63" s="170"/>
      <c r="G63" s="50"/>
      <c r="H63" s="172"/>
    </row>
    <row r="64" spans="1:9" ht="22.5" customHeight="1">
      <c r="A64" s="50"/>
      <c r="B64" s="50"/>
      <c r="C64" s="51"/>
      <c r="D64" s="52"/>
      <c r="E64" s="53"/>
      <c r="F64" s="53"/>
      <c r="G64" s="50"/>
      <c r="H64" s="172"/>
      <c r="I64" s="56">
        <f>E64-F64</f>
        <v>0</v>
      </c>
    </row>
    <row r="65" spans="1:8" ht="22.5" customHeight="1">
      <c r="A65" s="50"/>
      <c r="B65" s="50"/>
      <c r="C65" s="51"/>
      <c r="D65" s="52"/>
      <c r="E65" s="53"/>
      <c r="F65" s="53"/>
      <c r="G65" s="50"/>
      <c r="H65" s="50"/>
    </row>
    <row r="66" spans="1:8" ht="22.5" customHeight="1">
      <c r="A66" s="50"/>
      <c r="B66" s="50"/>
      <c r="C66" s="51"/>
      <c r="D66" s="52"/>
      <c r="E66" s="53"/>
      <c r="F66" s="53"/>
      <c r="G66" s="50"/>
      <c r="H66" s="50"/>
    </row>
    <row r="67" spans="1:8" ht="22.5" customHeight="1">
      <c r="A67" s="50"/>
      <c r="B67" s="50"/>
      <c r="C67" s="51"/>
      <c r="D67" s="52"/>
      <c r="E67" s="53"/>
      <c r="F67" s="53"/>
      <c r="G67" s="50"/>
      <c r="H67" s="50"/>
    </row>
    <row r="68" spans="1:8" ht="22.5" customHeight="1">
      <c r="A68" s="50"/>
      <c r="B68" s="50"/>
      <c r="C68" s="51"/>
      <c r="D68" s="52"/>
      <c r="E68" s="53"/>
      <c r="F68" s="53"/>
      <c r="G68" s="50"/>
      <c r="H68" s="50"/>
    </row>
    <row r="69" spans="1:8" ht="22.5" customHeight="1">
      <c r="A69" s="50"/>
      <c r="B69" s="50"/>
      <c r="C69" s="51"/>
      <c r="D69" s="52"/>
      <c r="E69" s="53"/>
      <c r="F69" s="53"/>
      <c r="G69" s="50"/>
      <c r="H69" s="50"/>
    </row>
    <row r="70" spans="1:8" ht="22.5" customHeight="1">
      <c r="A70" s="50"/>
      <c r="B70" s="50"/>
      <c r="C70" s="51"/>
      <c r="D70" s="52"/>
      <c r="E70" s="53"/>
      <c r="F70" s="53"/>
      <c r="G70" s="50"/>
      <c r="H70" s="50"/>
    </row>
    <row r="71" spans="1:8" ht="22.5" customHeight="1">
      <c r="A71" s="50"/>
      <c r="B71" s="50"/>
      <c r="C71" s="51"/>
      <c r="D71" s="52"/>
      <c r="E71" s="53"/>
      <c r="F71" s="53"/>
      <c r="G71" s="50"/>
      <c r="H71" s="50"/>
    </row>
    <row r="72" spans="1:8" ht="22.5" customHeight="1">
      <c r="A72" s="50"/>
      <c r="B72" s="50"/>
      <c r="C72" s="51"/>
      <c r="D72" s="52"/>
      <c r="E72" s="53"/>
      <c r="F72" s="53"/>
      <c r="G72" s="50"/>
      <c r="H72" s="50"/>
    </row>
    <row r="73" spans="1:8" ht="22.5" customHeight="1">
      <c r="A73" s="50"/>
      <c r="B73" s="50"/>
      <c r="C73" s="51"/>
      <c r="D73" s="52"/>
      <c r="E73" s="53"/>
      <c r="F73" s="53"/>
      <c r="G73" s="50"/>
      <c r="H73" s="50"/>
    </row>
    <row r="74" spans="1:8" ht="22.5" customHeight="1">
      <c r="A74" s="50"/>
      <c r="B74" s="50"/>
      <c r="C74" s="51"/>
      <c r="D74" s="52"/>
      <c r="E74" s="53"/>
      <c r="F74" s="53"/>
      <c r="G74" s="50"/>
      <c r="H74" s="50"/>
    </row>
    <row r="75" spans="1:8" ht="22.5" customHeight="1">
      <c r="A75" s="50"/>
      <c r="B75" s="50"/>
      <c r="C75" s="51"/>
      <c r="D75" s="52"/>
      <c r="E75" s="53"/>
      <c r="F75" s="53"/>
      <c r="G75" s="50"/>
      <c r="H75" s="50"/>
    </row>
    <row r="76" spans="1:8" ht="22.5" customHeight="1">
      <c r="A76" s="50"/>
      <c r="B76" s="50"/>
      <c r="C76" s="51"/>
      <c r="D76" s="52"/>
      <c r="E76" s="53"/>
      <c r="F76" s="53"/>
      <c r="G76" s="50"/>
      <c r="H76" s="50"/>
    </row>
    <row r="77" spans="1:8" ht="22.5" customHeight="1">
      <c r="A77" s="50"/>
      <c r="B77" s="50"/>
      <c r="C77" s="51"/>
      <c r="D77" s="52"/>
      <c r="E77" s="53"/>
      <c r="F77" s="53"/>
      <c r="G77" s="50"/>
      <c r="H77" s="50"/>
    </row>
    <row r="78" spans="1:8" ht="23.25" customHeight="1">
      <c r="A78" s="50"/>
      <c r="B78" s="50"/>
      <c r="C78" s="51"/>
      <c r="D78" s="52"/>
      <c r="E78" s="53"/>
      <c r="F78" s="53"/>
      <c r="G78" s="50"/>
      <c r="H78" s="50"/>
    </row>
    <row r="79" spans="1:8" ht="23.25" customHeight="1">
      <c r="A79" s="50"/>
      <c r="B79" s="50"/>
      <c r="C79" s="51"/>
      <c r="D79" s="52"/>
      <c r="E79" s="53"/>
      <c r="F79" s="53"/>
      <c r="G79" s="50"/>
      <c r="H79" s="50"/>
    </row>
    <row r="80" spans="1:8" ht="23.25" customHeight="1">
      <c r="A80" s="50"/>
      <c r="B80" s="50"/>
      <c r="C80" s="51"/>
      <c r="D80" s="52"/>
      <c r="E80" s="53"/>
      <c r="F80" s="53"/>
      <c r="G80" s="50"/>
      <c r="H80" s="50"/>
    </row>
    <row r="81" spans="1:8" ht="23.25" customHeight="1">
      <c r="A81" s="50"/>
      <c r="B81" s="50"/>
      <c r="C81" s="51"/>
      <c r="D81" s="52"/>
      <c r="E81" s="53"/>
      <c r="F81" s="53"/>
      <c r="G81" s="50"/>
      <c r="H81" s="50"/>
    </row>
    <row r="82" spans="1:8" ht="23.25" customHeight="1">
      <c r="A82" s="50"/>
      <c r="B82" s="50"/>
      <c r="C82" s="51"/>
      <c r="D82" s="52"/>
      <c r="E82" s="53"/>
      <c r="F82" s="53"/>
      <c r="G82" s="50"/>
      <c r="H82" s="50"/>
    </row>
    <row r="83" spans="1:8" ht="23.25" customHeight="1">
      <c r="A83" s="50"/>
      <c r="B83" s="50"/>
      <c r="C83" s="51"/>
      <c r="D83" s="52"/>
      <c r="E83" s="53"/>
      <c r="F83" s="53"/>
      <c r="G83" s="50"/>
      <c r="H83" s="50"/>
    </row>
    <row r="84" spans="1:6" ht="23.25" customHeight="1">
      <c r="A84" s="50"/>
      <c r="B84" s="50"/>
      <c r="C84" s="51"/>
      <c r="D84" s="52"/>
      <c r="E84" s="53"/>
      <c r="F84" s="53"/>
    </row>
    <row r="85" spans="1:6" ht="23.25" customHeight="1">
      <c r="A85" s="50"/>
      <c r="B85" s="50"/>
      <c r="C85" s="51"/>
      <c r="D85" s="52"/>
      <c r="E85" s="53"/>
      <c r="F85" s="53"/>
    </row>
    <row r="86" spans="1:6" ht="21.75" customHeight="1">
      <c r="A86" s="50"/>
      <c r="B86" s="50"/>
      <c r="C86" s="51"/>
      <c r="D86" s="52"/>
      <c r="E86" s="53"/>
      <c r="F86" s="53"/>
    </row>
    <row r="87" spans="1:6" ht="21.75" customHeight="1">
      <c r="A87" s="50"/>
      <c r="B87" s="50"/>
      <c r="C87" s="51"/>
      <c r="D87" s="52"/>
      <c r="E87" s="53"/>
      <c r="F87" s="53"/>
    </row>
  </sheetData>
  <sheetProtection/>
  <mergeCells count="5">
    <mergeCell ref="A51:C51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2" r:id="rId1"/>
  <rowBreaks count="2" manualBreakCount="2">
    <brk id="49" max="10" man="1"/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4" zoomScaleSheetLayoutView="124" zoomScalePageLayoutView="0" workbookViewId="0" topLeftCell="A25">
      <selection activeCell="G17" sqref="G17"/>
    </sheetView>
  </sheetViews>
  <sheetFormatPr defaultColWidth="9.140625" defaultRowHeight="21.75"/>
  <cols>
    <col min="1" max="1" width="46.00390625" style="4" customWidth="1"/>
    <col min="2" max="2" width="15.8515625" style="4" customWidth="1"/>
    <col min="3" max="3" width="14.7109375" style="4" customWidth="1"/>
    <col min="4" max="4" width="14.8515625" style="4" customWidth="1"/>
    <col min="5" max="5" width="14.8515625" style="70" customWidth="1"/>
    <col min="6" max="6" width="9.140625" style="4" customWidth="1"/>
    <col min="7" max="7" width="12.421875" style="4" bestFit="1" customWidth="1"/>
    <col min="8" max="8" width="12.00390625" style="4" customWidth="1"/>
    <col min="9" max="9" width="10.140625" style="4" customWidth="1"/>
    <col min="10" max="16384" width="9.140625" style="4" customWidth="1"/>
  </cols>
  <sheetData>
    <row r="1" spans="1:5" ht="23.25">
      <c r="A1" s="180" t="s">
        <v>180</v>
      </c>
      <c r="B1" s="180"/>
      <c r="C1" s="180"/>
      <c r="D1" s="180"/>
      <c r="E1" s="180"/>
    </row>
    <row r="2" spans="1:7" ht="23.25">
      <c r="A2" s="180" t="s">
        <v>44</v>
      </c>
      <c r="B2" s="180"/>
      <c r="C2" s="180"/>
      <c r="D2" s="180"/>
      <c r="E2" s="180"/>
      <c r="G2" s="4" t="s">
        <v>203</v>
      </c>
    </row>
    <row r="3" spans="1:5" ht="23.25">
      <c r="A3" s="180" t="s">
        <v>335</v>
      </c>
      <c r="B3" s="180"/>
      <c r="C3" s="180"/>
      <c r="D3" s="180"/>
      <c r="E3" s="180"/>
    </row>
    <row r="4" spans="1:5" ht="23.25">
      <c r="A4" s="9"/>
      <c r="B4" s="9"/>
      <c r="C4" s="9"/>
      <c r="D4" s="9"/>
      <c r="E4" s="9"/>
    </row>
    <row r="5" spans="1:6" ht="23.25">
      <c r="A5" s="119" t="s">
        <v>11</v>
      </c>
      <c r="B5" s="16" t="s">
        <v>58</v>
      </c>
      <c r="C5" s="11" t="s">
        <v>45</v>
      </c>
      <c r="D5" s="11" t="s">
        <v>46</v>
      </c>
      <c r="E5" s="11" t="s">
        <v>47</v>
      </c>
      <c r="F5" s="6"/>
    </row>
    <row r="6" spans="1:7" ht="23.25">
      <c r="A6" s="136" t="s">
        <v>48</v>
      </c>
      <c r="B6" s="137">
        <v>77837.12</v>
      </c>
      <c r="C6" s="137">
        <v>62111.74</v>
      </c>
      <c r="D6" s="137">
        <v>77837.12</v>
      </c>
      <c r="E6" s="137">
        <f aca="true" t="shared" si="0" ref="E6:E31">+B6+C6-D6</f>
        <v>62111.73999999999</v>
      </c>
      <c r="G6" s="4" t="s">
        <v>222</v>
      </c>
    </row>
    <row r="7" spans="1:5" ht="23.25">
      <c r="A7" s="136" t="s">
        <v>50</v>
      </c>
      <c r="B7" s="137">
        <v>48771.05</v>
      </c>
      <c r="C7" s="137">
        <v>511.9</v>
      </c>
      <c r="D7" s="137">
        <v>0</v>
      </c>
      <c r="E7" s="137">
        <f t="shared" si="0"/>
        <v>49282.950000000004</v>
      </c>
    </row>
    <row r="8" spans="1:5" ht="23.25">
      <c r="A8" s="136" t="s">
        <v>78</v>
      </c>
      <c r="B8" s="137">
        <v>395215</v>
      </c>
      <c r="C8" s="137">
        <v>0</v>
      </c>
      <c r="D8" s="137">
        <v>395215</v>
      </c>
      <c r="E8" s="137">
        <f t="shared" si="0"/>
        <v>0</v>
      </c>
    </row>
    <row r="9" spans="1:5" ht="23.25">
      <c r="A9" s="136" t="s">
        <v>49</v>
      </c>
      <c r="B9" s="137">
        <v>2019158</v>
      </c>
      <c r="C9" s="138">
        <v>36430</v>
      </c>
      <c r="D9" s="137">
        <v>41500</v>
      </c>
      <c r="E9" s="137">
        <f t="shared" si="0"/>
        <v>2014088</v>
      </c>
    </row>
    <row r="10" spans="1:5" ht="23.25">
      <c r="A10" s="136" t="s">
        <v>79</v>
      </c>
      <c r="B10" s="137">
        <f>+'[1]หมายเหตุ'!$E$10</f>
        <v>10350</v>
      </c>
      <c r="C10" s="137">
        <v>0</v>
      </c>
      <c r="D10" s="137">
        <v>0</v>
      </c>
      <c r="E10" s="137">
        <f t="shared" si="0"/>
        <v>10350</v>
      </c>
    </row>
    <row r="11" spans="1:5" ht="23.25">
      <c r="A11" s="136" t="s">
        <v>161</v>
      </c>
      <c r="B11" s="137">
        <v>510000</v>
      </c>
      <c r="C11" s="137">
        <v>0</v>
      </c>
      <c r="D11" s="137">
        <v>50000</v>
      </c>
      <c r="E11" s="137">
        <f t="shared" si="0"/>
        <v>460000</v>
      </c>
    </row>
    <row r="12" spans="1:5" ht="23.25">
      <c r="A12" s="136" t="s">
        <v>9</v>
      </c>
      <c r="B12" s="137">
        <v>43693</v>
      </c>
      <c r="C12" s="137">
        <v>0</v>
      </c>
      <c r="D12" s="137">
        <v>0</v>
      </c>
      <c r="E12" s="137">
        <f t="shared" si="0"/>
        <v>43693</v>
      </c>
    </row>
    <row r="13" spans="1:5" ht="23.25">
      <c r="A13" s="136" t="s">
        <v>51</v>
      </c>
      <c r="B13" s="137">
        <v>153318.77</v>
      </c>
      <c r="C13" s="137">
        <v>12700</v>
      </c>
      <c r="D13" s="137">
        <v>0</v>
      </c>
      <c r="E13" s="137">
        <f t="shared" si="0"/>
        <v>166018.77</v>
      </c>
    </row>
    <row r="14" spans="1:5" ht="23.25">
      <c r="A14" s="136" t="s">
        <v>99</v>
      </c>
      <c r="B14" s="137">
        <v>0</v>
      </c>
      <c r="C14" s="137"/>
      <c r="D14" s="137"/>
      <c r="E14" s="137">
        <f t="shared" si="0"/>
        <v>0</v>
      </c>
    </row>
    <row r="15" spans="1:10" ht="23.25">
      <c r="A15" s="136" t="s">
        <v>129</v>
      </c>
      <c r="B15" s="137">
        <v>0</v>
      </c>
      <c r="C15" s="137">
        <v>7000</v>
      </c>
      <c r="D15" s="137">
        <v>7000</v>
      </c>
      <c r="E15" s="137">
        <f t="shared" si="0"/>
        <v>0</v>
      </c>
      <c r="J15" s="4" t="s">
        <v>203</v>
      </c>
    </row>
    <row r="16" spans="1:5" ht="23.25">
      <c r="A16" s="136" t="s">
        <v>122</v>
      </c>
      <c r="B16" s="137">
        <v>0</v>
      </c>
      <c r="C16" s="137">
        <v>14000</v>
      </c>
      <c r="D16" s="137">
        <v>14000</v>
      </c>
      <c r="E16" s="137">
        <f t="shared" si="0"/>
        <v>0</v>
      </c>
    </row>
    <row r="17" spans="1:5" ht="23.25">
      <c r="A17" s="136" t="s">
        <v>142</v>
      </c>
      <c r="B17" s="137">
        <v>960751.69</v>
      </c>
      <c r="C17" s="137">
        <v>1941.02</v>
      </c>
      <c r="D17" s="137">
        <v>404850</v>
      </c>
      <c r="E17" s="137">
        <f>+B17+C17-D17</f>
        <v>557842.71</v>
      </c>
    </row>
    <row r="18" spans="1:7" ht="23.25">
      <c r="A18" s="136" t="s">
        <v>123</v>
      </c>
      <c r="B18" s="137">
        <v>168534</v>
      </c>
      <c r="C18" s="137">
        <v>167817</v>
      </c>
      <c r="D18" s="137">
        <v>168534</v>
      </c>
      <c r="E18" s="137">
        <f t="shared" si="0"/>
        <v>167817</v>
      </c>
      <c r="G18" s="4">
        <v>4</v>
      </c>
    </row>
    <row r="19" spans="1:5" ht="23.25">
      <c r="A19" s="136" t="s">
        <v>319</v>
      </c>
      <c r="B19" s="137">
        <v>0</v>
      </c>
      <c r="C19" s="137">
        <v>18796.88</v>
      </c>
      <c r="D19" s="137">
        <v>18796.88</v>
      </c>
      <c r="E19" s="137">
        <f t="shared" si="0"/>
        <v>0</v>
      </c>
    </row>
    <row r="20" spans="1:5" ht="23.25">
      <c r="A20" s="136" t="s">
        <v>57</v>
      </c>
      <c r="B20" s="137">
        <v>0</v>
      </c>
      <c r="C20" s="137">
        <v>74700</v>
      </c>
      <c r="D20" s="137">
        <v>74700</v>
      </c>
      <c r="E20" s="137">
        <f t="shared" si="0"/>
        <v>0</v>
      </c>
    </row>
    <row r="21" spans="1:5" ht="23.25">
      <c r="A21" s="136" t="s">
        <v>55</v>
      </c>
      <c r="B21" s="137">
        <v>0</v>
      </c>
      <c r="C21" s="137">
        <v>269400</v>
      </c>
      <c r="D21" s="137">
        <v>269400</v>
      </c>
      <c r="E21" s="137">
        <f t="shared" si="0"/>
        <v>0</v>
      </c>
    </row>
    <row r="22" spans="1:10" ht="23.25">
      <c r="A22" s="136" t="s">
        <v>56</v>
      </c>
      <c r="B22" s="137">
        <v>0</v>
      </c>
      <c r="C22" s="137">
        <v>249625</v>
      </c>
      <c r="D22" s="137">
        <v>249625</v>
      </c>
      <c r="E22" s="137">
        <f t="shared" si="0"/>
        <v>0</v>
      </c>
      <c r="J22" s="4" t="s">
        <v>203</v>
      </c>
    </row>
    <row r="23" spans="1:5" ht="23.25">
      <c r="A23" s="139" t="s">
        <v>262</v>
      </c>
      <c r="B23" s="137">
        <v>0</v>
      </c>
      <c r="C23" s="137">
        <v>0</v>
      </c>
      <c r="D23" s="137">
        <v>0</v>
      </c>
      <c r="E23" s="137">
        <f t="shared" si="0"/>
        <v>0</v>
      </c>
    </row>
    <row r="24" spans="1:5" ht="23.25">
      <c r="A24" s="139" t="s">
        <v>263</v>
      </c>
      <c r="B24" s="137">
        <v>0</v>
      </c>
      <c r="C24" s="137">
        <v>0</v>
      </c>
      <c r="D24" s="137"/>
      <c r="E24" s="137">
        <f t="shared" si="0"/>
        <v>0</v>
      </c>
    </row>
    <row r="25" spans="1:5" ht="23.25">
      <c r="A25" s="139" t="s">
        <v>264</v>
      </c>
      <c r="B25" s="137">
        <v>0</v>
      </c>
      <c r="C25" s="137"/>
      <c r="D25" s="137"/>
      <c r="E25" s="137">
        <f t="shared" si="0"/>
        <v>0</v>
      </c>
    </row>
    <row r="26" spans="1:5" ht="23.25">
      <c r="A26" s="139" t="s">
        <v>265</v>
      </c>
      <c r="B26" s="137">
        <v>0</v>
      </c>
      <c r="C26" s="137">
        <v>0</v>
      </c>
      <c r="D26" s="137">
        <v>0</v>
      </c>
      <c r="E26" s="137">
        <f t="shared" si="0"/>
        <v>0</v>
      </c>
    </row>
    <row r="27" spans="1:5" ht="23.25">
      <c r="A27" s="139" t="s">
        <v>266</v>
      </c>
      <c r="B27" s="137">
        <v>0</v>
      </c>
      <c r="C27" s="137">
        <v>0</v>
      </c>
      <c r="D27" s="137">
        <v>0</v>
      </c>
      <c r="E27" s="137">
        <f t="shared" si="0"/>
        <v>0</v>
      </c>
    </row>
    <row r="28" spans="1:5" ht="23.25">
      <c r="A28" s="139" t="s">
        <v>267</v>
      </c>
      <c r="B28" s="137">
        <v>75</v>
      </c>
      <c r="C28" s="137">
        <v>0</v>
      </c>
      <c r="D28" s="137">
        <v>75</v>
      </c>
      <c r="E28" s="137">
        <f t="shared" si="0"/>
        <v>0</v>
      </c>
    </row>
    <row r="29" spans="1:5" ht="23.25">
      <c r="A29" s="139" t="s">
        <v>268</v>
      </c>
      <c r="B29" s="137">
        <v>65</v>
      </c>
      <c r="C29" s="137"/>
      <c r="D29" s="137">
        <v>0</v>
      </c>
      <c r="E29" s="137">
        <f t="shared" si="0"/>
        <v>65</v>
      </c>
    </row>
    <row r="30" spans="1:5" ht="23.25">
      <c r="A30" s="139" t="s">
        <v>269</v>
      </c>
      <c r="B30" s="137">
        <v>33500</v>
      </c>
      <c r="C30" s="137">
        <v>0</v>
      </c>
      <c r="D30" s="137">
        <v>0</v>
      </c>
      <c r="E30" s="137">
        <f t="shared" si="0"/>
        <v>33500</v>
      </c>
    </row>
    <row r="31" spans="1:5" ht="23.25">
      <c r="A31" s="139" t="s">
        <v>270</v>
      </c>
      <c r="B31" s="137">
        <v>2780</v>
      </c>
      <c r="C31" s="137">
        <v>0</v>
      </c>
      <c r="D31" s="137">
        <v>0</v>
      </c>
      <c r="E31" s="137">
        <f t="shared" si="0"/>
        <v>2780</v>
      </c>
    </row>
    <row r="32" spans="1:8" ht="24" thickBot="1">
      <c r="A32" s="120"/>
      <c r="B32" s="18">
        <f>SUM(B6:B31)</f>
        <v>4424048.63</v>
      </c>
      <c r="C32" s="18">
        <f>SUM(C6:C31)</f>
        <v>915033.54</v>
      </c>
      <c r="D32" s="18">
        <f>SUM(D6:D31)</f>
        <v>1771533</v>
      </c>
      <c r="E32" s="18">
        <f>SUM(E6:E31)</f>
        <v>3567549.17</v>
      </c>
      <c r="G32" s="70">
        <v>4919012.81</v>
      </c>
      <c r="H32" s="160">
        <f>+G32-E32</f>
        <v>1351463.6399999997</v>
      </c>
    </row>
    <row r="33" spans="1:5" ht="24" customHeight="1" thickTop="1">
      <c r="A33" s="10" t="s">
        <v>52</v>
      </c>
      <c r="B33" s="10"/>
      <c r="C33" s="12"/>
      <c r="D33" s="12"/>
      <c r="E33" s="15"/>
    </row>
    <row r="34" spans="1:5" ht="24" customHeight="1">
      <c r="A34" s="54" t="s">
        <v>80</v>
      </c>
      <c r="B34" s="14"/>
      <c r="C34" s="12"/>
      <c r="D34" s="12"/>
      <c r="E34" s="68" t="s">
        <v>53</v>
      </c>
    </row>
    <row r="35" spans="1:5" ht="23.25">
      <c r="A35" s="12" t="s">
        <v>162</v>
      </c>
      <c r="B35" s="14"/>
      <c r="C35" s="12"/>
      <c r="D35" s="12"/>
      <c r="E35" s="71">
        <v>0</v>
      </c>
    </row>
    <row r="36" spans="1:7" ht="23.25">
      <c r="A36" s="12" t="s">
        <v>163</v>
      </c>
      <c r="B36" s="12"/>
      <c r="C36" s="12"/>
      <c r="D36" s="12"/>
      <c r="E36" s="15">
        <v>0</v>
      </c>
      <c r="G36" s="4" t="s">
        <v>203</v>
      </c>
    </row>
    <row r="37" spans="1:5" ht="23.25">
      <c r="A37" s="12" t="s">
        <v>164</v>
      </c>
      <c r="B37" s="12"/>
      <c r="C37" s="12"/>
      <c r="D37" s="12"/>
      <c r="E37" s="15">
        <v>0</v>
      </c>
    </row>
    <row r="38" spans="1:5" ht="24" thickBot="1">
      <c r="A38" s="12"/>
      <c r="B38" s="12"/>
      <c r="C38" s="12"/>
      <c r="D38" s="10" t="s">
        <v>31</v>
      </c>
      <c r="E38" s="69">
        <f>SUM(E35:E37)</f>
        <v>0</v>
      </c>
    </row>
    <row r="39" spans="1:5" ht="24" thickTop="1">
      <c r="A39" s="12"/>
      <c r="B39" s="12"/>
      <c r="C39" s="12"/>
      <c r="D39" s="12"/>
      <c r="E39" s="12"/>
    </row>
    <row r="40" ht="23.25">
      <c r="E40" s="4"/>
    </row>
    <row r="41" ht="23.25">
      <c r="E41" s="4"/>
    </row>
    <row r="42" ht="23.25">
      <c r="E42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0" r:id="rId1"/>
  <rowBreaks count="1" manualBreakCount="1">
    <brk id="3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5">
      <selection activeCell="D32" sqref="D32"/>
    </sheetView>
  </sheetViews>
  <sheetFormatPr defaultColWidth="9.140625" defaultRowHeight="21.75"/>
  <cols>
    <col min="1" max="1" width="44.00390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7" width="9.140625" style="4" customWidth="1"/>
    <col min="8" max="8" width="12.140625" style="4" customWidth="1"/>
    <col min="9" max="9" width="13.28125" style="4" customWidth="1"/>
    <col min="10" max="16384" width="9.140625" style="4" customWidth="1"/>
  </cols>
  <sheetData>
    <row r="1" spans="1:5" ht="23.25">
      <c r="A1" s="180" t="s">
        <v>180</v>
      </c>
      <c r="B1" s="180"/>
      <c r="C1" s="180"/>
      <c r="D1" s="180"/>
      <c r="E1" s="180"/>
    </row>
    <row r="2" spans="1:5" ht="23.25">
      <c r="A2" s="180" t="s">
        <v>44</v>
      </c>
      <c r="B2" s="180"/>
      <c r="C2" s="180"/>
      <c r="D2" s="180"/>
      <c r="E2" s="180"/>
    </row>
    <row r="3" spans="1:5" ht="23.25">
      <c r="A3" s="180" t="s">
        <v>336</v>
      </c>
      <c r="B3" s="180"/>
      <c r="C3" s="180"/>
      <c r="D3" s="180"/>
      <c r="E3" s="180"/>
    </row>
    <row r="4" spans="1:5" ht="21" customHeight="1">
      <c r="A4" s="9"/>
      <c r="B4" s="9"/>
      <c r="C4" s="9"/>
      <c r="D4" s="9"/>
      <c r="E4" s="9"/>
    </row>
    <row r="5" spans="1:7" ht="23.25">
      <c r="A5" s="119" t="s">
        <v>11</v>
      </c>
      <c r="B5" s="16" t="s">
        <v>58</v>
      </c>
      <c r="C5" s="11" t="s">
        <v>45</v>
      </c>
      <c r="D5" s="11" t="s">
        <v>46</v>
      </c>
      <c r="E5" s="16" t="s">
        <v>47</v>
      </c>
      <c r="F5" s="6"/>
      <c r="G5" s="4" t="s">
        <v>212</v>
      </c>
    </row>
    <row r="6" spans="1:5" ht="23.25">
      <c r="A6" s="136" t="s">
        <v>48</v>
      </c>
      <c r="B6" s="137">
        <v>45725.52</v>
      </c>
      <c r="C6" s="137">
        <f>15364.39+29060.44+29191.96+102947.34+59439.53+77837.12+62111.74</f>
        <v>375952.52</v>
      </c>
      <c r="D6" s="137">
        <f>45725.52+15364.39+29060.44+29191.96+102947.34+59439.53+77837.12</f>
        <v>359566.3</v>
      </c>
      <c r="E6" s="137">
        <f>+B6+C6-D6</f>
        <v>62111.74000000005</v>
      </c>
    </row>
    <row r="7" spans="1:5" ht="23.25">
      <c r="A7" s="136" t="s">
        <v>50</v>
      </c>
      <c r="B7" s="137">
        <v>46443.55</v>
      </c>
      <c r="C7" s="137">
        <f>10.4+19.75+638.85+980+678.5+511.9</f>
        <v>2839.4</v>
      </c>
      <c r="D7" s="137">
        <v>0</v>
      </c>
      <c r="E7" s="137">
        <f>+B7+C7-D7</f>
        <v>49282.950000000004</v>
      </c>
    </row>
    <row r="8" spans="1:5" ht="23.25">
      <c r="A8" s="136" t="s">
        <v>78</v>
      </c>
      <c r="B8" s="137">
        <v>0</v>
      </c>
      <c r="C8" s="137">
        <f>3016805+1025000+600000</f>
        <v>4641805</v>
      </c>
      <c r="D8" s="137">
        <f>2432190+757850+1056550+395215</f>
        <v>4641805</v>
      </c>
      <c r="E8" s="137">
        <f aca="true" t="shared" si="0" ref="E8:E31">+B8+C8-D8</f>
        <v>0</v>
      </c>
    </row>
    <row r="9" spans="1:5" ht="23.25">
      <c r="A9" s="136" t="s">
        <v>49</v>
      </c>
      <c r="B9" s="137">
        <v>1455784</v>
      </c>
      <c r="C9" s="138">
        <f>54814+11907+73900+156309+207602+333423+36430</f>
        <v>874385</v>
      </c>
      <c r="D9" s="137">
        <f>57407+22011+25805+20690+81260+67408+41500</f>
        <v>316081</v>
      </c>
      <c r="E9" s="137">
        <f t="shared" si="0"/>
        <v>2014088</v>
      </c>
    </row>
    <row r="10" spans="1:5" ht="23.25">
      <c r="A10" s="136" t="s">
        <v>79</v>
      </c>
      <c r="B10" s="137">
        <f>+'[1]หมายเหตุ'!$E$10</f>
        <v>10350</v>
      </c>
      <c r="C10" s="137">
        <v>0</v>
      </c>
      <c r="D10" s="137">
        <v>0</v>
      </c>
      <c r="E10" s="137">
        <f t="shared" si="0"/>
        <v>10350</v>
      </c>
    </row>
    <row r="11" spans="1:5" ht="23.25">
      <c r="A11" s="136" t="s">
        <v>161</v>
      </c>
      <c r="B11" s="137">
        <v>360000</v>
      </c>
      <c r="C11" s="137">
        <f>100000+150000</f>
        <v>250000</v>
      </c>
      <c r="D11" s="137">
        <f>100000+50000</f>
        <v>150000</v>
      </c>
      <c r="E11" s="137">
        <f t="shared" si="0"/>
        <v>460000</v>
      </c>
    </row>
    <row r="12" spans="1:5" ht="23.25">
      <c r="A12" s="136" t="s">
        <v>9</v>
      </c>
      <c r="B12" s="137">
        <v>5938</v>
      </c>
      <c r="C12" s="137">
        <f>68+40755</f>
        <v>40823</v>
      </c>
      <c r="D12" s="137">
        <f>68+3000</f>
        <v>3068</v>
      </c>
      <c r="E12" s="137">
        <f t="shared" si="0"/>
        <v>43693</v>
      </c>
    </row>
    <row r="13" spans="1:5" ht="23.25">
      <c r="A13" s="136" t="s">
        <v>51</v>
      </c>
      <c r="B13" s="137">
        <v>126940.72</v>
      </c>
      <c r="C13" s="137">
        <f>978.05+12700+12700+12700</f>
        <v>39078.05</v>
      </c>
      <c r="D13" s="137">
        <v>0</v>
      </c>
      <c r="E13" s="137">
        <f t="shared" si="0"/>
        <v>166018.77000000002</v>
      </c>
    </row>
    <row r="14" spans="1:5" ht="23.25">
      <c r="A14" s="136" t="s">
        <v>99</v>
      </c>
      <c r="B14" s="137">
        <v>0</v>
      </c>
      <c r="C14" s="137">
        <f>4000+369683+369683</f>
        <v>743366</v>
      </c>
      <c r="D14" s="137">
        <f>4000+369683+369683</f>
        <v>743366</v>
      </c>
      <c r="E14" s="137">
        <f t="shared" si="0"/>
        <v>0</v>
      </c>
    </row>
    <row r="15" spans="1:5" ht="23.25">
      <c r="A15" s="136" t="s">
        <v>129</v>
      </c>
      <c r="B15" s="137">
        <v>0</v>
      </c>
      <c r="C15" s="137">
        <f>7000+7000+7000</f>
        <v>21000</v>
      </c>
      <c r="D15" s="137">
        <f>7000+7000+7000</f>
        <v>21000</v>
      </c>
      <c r="E15" s="137">
        <f t="shared" si="0"/>
        <v>0</v>
      </c>
    </row>
    <row r="16" spans="1:5" ht="23.25">
      <c r="A16" s="136" t="s">
        <v>122</v>
      </c>
      <c r="B16" s="137">
        <f>+'[1]หมายเหตุ'!$E$16</f>
        <v>0</v>
      </c>
      <c r="C16" s="137">
        <f>4210+12705+4320+944+1086+14000</f>
        <v>37265</v>
      </c>
      <c r="D16" s="137">
        <f>4210+12705+2850+2050+1450+14000</f>
        <v>37265</v>
      </c>
      <c r="E16" s="137">
        <f t="shared" si="0"/>
        <v>0</v>
      </c>
    </row>
    <row r="17" spans="1:5" ht="23.25">
      <c r="A17" s="136" t="s">
        <v>142</v>
      </c>
      <c r="B17" s="137">
        <v>409195.69</v>
      </c>
      <c r="C17" s="137">
        <f>1103130+552000+1941.02</f>
        <v>1657071.02</v>
      </c>
      <c r="D17" s="137">
        <f>6110+77459+9100+1010905+404850</f>
        <v>1508424</v>
      </c>
      <c r="E17" s="137">
        <f t="shared" si="0"/>
        <v>557842.71</v>
      </c>
    </row>
    <row r="18" spans="1:5" ht="23.25">
      <c r="A18" s="136" t="s">
        <v>123</v>
      </c>
      <c r="B18" s="137">
        <v>0</v>
      </c>
      <c r="C18" s="137">
        <f>158383+155916+163916+165965+167180+168534+167817</f>
        <v>1147711</v>
      </c>
      <c r="D18" s="137">
        <f>158383+155916+163916+165965+168534+167180</f>
        <v>979894</v>
      </c>
      <c r="E18" s="137">
        <f t="shared" si="0"/>
        <v>167817</v>
      </c>
    </row>
    <row r="19" spans="1:5" ht="23.25">
      <c r="A19" s="136" t="s">
        <v>319</v>
      </c>
      <c r="B19" s="137">
        <v>0</v>
      </c>
      <c r="C19" s="137">
        <f>18456.18+21071.43+18796.88</f>
        <v>58324.490000000005</v>
      </c>
      <c r="D19" s="137">
        <f>18456.18+21071.43+18796.88</f>
        <v>58324.490000000005</v>
      </c>
      <c r="E19" s="137">
        <f t="shared" si="0"/>
        <v>0</v>
      </c>
    </row>
    <row r="20" spans="1:5" ht="23.25">
      <c r="A20" s="136" t="s">
        <v>57</v>
      </c>
      <c r="B20" s="137"/>
      <c r="C20" s="137">
        <f>75400+68000+68500+74700+74700+74700+74700</f>
        <v>510700</v>
      </c>
      <c r="D20" s="137">
        <f>75400+68000+68500+74700+74700+74700+74700</f>
        <v>510700</v>
      </c>
      <c r="E20" s="137">
        <f t="shared" si="0"/>
        <v>0</v>
      </c>
    </row>
    <row r="21" spans="1:8" ht="23.25">
      <c r="A21" s="136" t="s">
        <v>55</v>
      </c>
      <c r="B21" s="137"/>
      <c r="C21" s="137">
        <f>277400+260400+284700+269400+269400+269400+269400</f>
        <v>1900100</v>
      </c>
      <c r="D21" s="137">
        <f>277400+260400+284700+269400+269400+269400+269400</f>
        <v>1900100</v>
      </c>
      <c r="E21" s="137">
        <f t="shared" si="0"/>
        <v>0</v>
      </c>
      <c r="H21" s="4" t="s">
        <v>203</v>
      </c>
    </row>
    <row r="22" spans="1:5" ht="23.25">
      <c r="A22" s="136" t="s">
        <v>56</v>
      </c>
      <c r="B22" s="137">
        <v>0</v>
      </c>
      <c r="C22" s="137">
        <f>254904+250053.09+224408+229308+229308+249625+249625</f>
        <v>1687231.0899999999</v>
      </c>
      <c r="D22" s="137">
        <f>254904+250053.09+224408+229308+229308+249625+249625</f>
        <v>1687231.0899999999</v>
      </c>
      <c r="E22" s="137">
        <f t="shared" si="0"/>
        <v>0</v>
      </c>
    </row>
    <row r="23" spans="1:5" ht="23.25">
      <c r="A23" s="139" t="s">
        <v>262</v>
      </c>
      <c r="B23" s="141">
        <v>28600</v>
      </c>
      <c r="C23" s="137">
        <v>0</v>
      </c>
      <c r="D23" s="137">
        <v>28600</v>
      </c>
      <c r="E23" s="137">
        <f t="shared" si="0"/>
        <v>0</v>
      </c>
    </row>
    <row r="24" spans="1:5" ht="23.25">
      <c r="A24" s="139" t="s">
        <v>263</v>
      </c>
      <c r="B24" s="141">
        <v>114400</v>
      </c>
      <c r="C24" s="137">
        <f>800+31200</f>
        <v>32000</v>
      </c>
      <c r="D24" s="137">
        <f>113600+1600+31200</f>
        <v>146400</v>
      </c>
      <c r="E24" s="137">
        <f t="shared" si="0"/>
        <v>0</v>
      </c>
    </row>
    <row r="25" spans="1:5" ht="23.25">
      <c r="A25" s="139" t="s">
        <v>264</v>
      </c>
      <c r="B25" s="141">
        <v>68710</v>
      </c>
      <c r="C25" s="137">
        <v>0</v>
      </c>
      <c r="D25" s="137">
        <v>68710</v>
      </c>
      <c r="E25" s="137">
        <f t="shared" si="0"/>
        <v>0</v>
      </c>
    </row>
    <row r="26" spans="1:5" ht="23.25">
      <c r="A26" s="139" t="s">
        <v>265</v>
      </c>
      <c r="B26" s="141">
        <v>103776.46</v>
      </c>
      <c r="C26" s="137">
        <v>0</v>
      </c>
      <c r="D26" s="137">
        <f>27136+28880+28880+17740.46+1140</f>
        <v>103776.45999999999</v>
      </c>
      <c r="E26" s="137">
        <f t="shared" si="0"/>
        <v>0</v>
      </c>
    </row>
    <row r="27" spans="1:5" ht="23.25">
      <c r="A27" s="139" t="s">
        <v>266</v>
      </c>
      <c r="B27" s="141">
        <v>10129.04</v>
      </c>
      <c r="C27" s="137">
        <v>0</v>
      </c>
      <c r="D27" s="137">
        <f>6000+4129.04</f>
        <v>10129.04</v>
      </c>
      <c r="E27" s="137">
        <f t="shared" si="0"/>
        <v>0</v>
      </c>
    </row>
    <row r="28" spans="1:5" ht="23.25">
      <c r="A28" s="139" t="s">
        <v>267</v>
      </c>
      <c r="B28" s="141">
        <v>7051</v>
      </c>
      <c r="C28" s="137">
        <v>0</v>
      </c>
      <c r="D28" s="137">
        <f>1744+1744+1744+1744+75</f>
        <v>7051</v>
      </c>
      <c r="E28" s="137">
        <f t="shared" si="0"/>
        <v>0</v>
      </c>
    </row>
    <row r="29" spans="1:5" ht="23.25">
      <c r="A29" s="139" t="s">
        <v>268</v>
      </c>
      <c r="B29" s="141">
        <v>32640</v>
      </c>
      <c r="C29" s="137">
        <v>0</v>
      </c>
      <c r="D29" s="137">
        <v>32575</v>
      </c>
      <c r="E29" s="137">
        <f t="shared" si="0"/>
        <v>65</v>
      </c>
    </row>
    <row r="30" spans="1:5" ht="23.25">
      <c r="A30" s="139" t="s">
        <v>269</v>
      </c>
      <c r="B30" s="141">
        <v>33500</v>
      </c>
      <c r="C30" s="137">
        <v>0</v>
      </c>
      <c r="D30" s="137">
        <v>0</v>
      </c>
      <c r="E30" s="137">
        <f t="shared" si="0"/>
        <v>33500</v>
      </c>
    </row>
    <row r="31" spans="1:5" ht="23.25">
      <c r="A31" s="139" t="s">
        <v>270</v>
      </c>
      <c r="B31" s="141">
        <v>2780</v>
      </c>
      <c r="C31" s="140">
        <v>0</v>
      </c>
      <c r="D31" s="140">
        <v>0</v>
      </c>
      <c r="E31" s="137">
        <f t="shared" si="0"/>
        <v>2780</v>
      </c>
    </row>
    <row r="32" spans="1:8" ht="21" customHeight="1" thickBot="1">
      <c r="A32" s="12"/>
      <c r="B32" s="142">
        <f>SUM(B6:B31)</f>
        <v>2861963.98</v>
      </c>
      <c r="C32" s="18">
        <f>SUM(C6:C31)</f>
        <v>14019651.57</v>
      </c>
      <c r="D32" s="18">
        <f>SUM(D6:D31)</f>
        <v>13314066.38</v>
      </c>
      <c r="E32" s="18">
        <f>SUM(E6:E31)</f>
        <v>3567549.17</v>
      </c>
      <c r="H32" s="160">
        <f>+E32-หมายเหตุ!E32</f>
        <v>0</v>
      </c>
    </row>
    <row r="33" spans="1:5" ht="24" thickTop="1">
      <c r="A33" s="10" t="s">
        <v>52</v>
      </c>
      <c r="B33" s="10"/>
      <c r="C33" s="12"/>
      <c r="D33" s="12"/>
      <c r="E33" s="15"/>
    </row>
    <row r="34" spans="1:5" ht="24" customHeight="1">
      <c r="A34" s="54" t="s">
        <v>80</v>
      </c>
      <c r="B34" s="14"/>
      <c r="C34" s="12"/>
      <c r="D34" s="12"/>
      <c r="E34" s="68" t="s">
        <v>53</v>
      </c>
    </row>
    <row r="35" spans="1:5" ht="24" customHeight="1">
      <c r="A35" s="12" t="s">
        <v>162</v>
      </c>
      <c r="B35" s="14"/>
      <c r="C35" s="12"/>
      <c r="D35" s="12"/>
      <c r="E35" s="71"/>
    </row>
    <row r="36" spans="1:5" ht="23.25">
      <c r="A36" s="12" t="s">
        <v>163</v>
      </c>
      <c r="B36" s="12"/>
      <c r="C36" s="12"/>
      <c r="D36" s="12"/>
      <c r="E36" s="15">
        <v>34000</v>
      </c>
    </row>
    <row r="37" spans="1:5" ht="23.25">
      <c r="A37" s="12" t="s">
        <v>164</v>
      </c>
      <c r="B37" s="12"/>
      <c r="C37" s="12"/>
      <c r="D37" s="12"/>
      <c r="E37" s="15">
        <f>132800+4780000</f>
        <v>4912800</v>
      </c>
    </row>
    <row r="38" spans="1:5" ht="24" thickBot="1">
      <c r="A38" s="12"/>
      <c r="B38" s="12"/>
      <c r="C38" s="12"/>
      <c r="D38" s="10" t="s">
        <v>31</v>
      </c>
      <c r="E38" s="69">
        <f>SUM(E35:E37)</f>
        <v>4946800</v>
      </c>
    </row>
    <row r="39" spans="1:5" ht="21.75" customHeight="1" thickTop="1">
      <c r="A39" s="12"/>
      <c r="B39" s="12"/>
      <c r="C39" s="12"/>
      <c r="D39" s="12"/>
      <c r="E39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5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142" zoomScaleSheetLayoutView="142" zoomScalePageLayoutView="0" workbookViewId="0" topLeftCell="C64">
      <selection activeCell="D72" sqref="D72"/>
    </sheetView>
  </sheetViews>
  <sheetFormatPr defaultColWidth="9.140625" defaultRowHeight="21.75"/>
  <cols>
    <col min="1" max="1" width="14.57421875" style="19" customWidth="1"/>
    <col min="2" max="2" width="12.57421875" style="19" customWidth="1"/>
    <col min="3" max="3" width="9.7109375" style="19" customWidth="1"/>
    <col min="4" max="4" width="14.8515625" style="19" customWidth="1"/>
    <col min="5" max="5" width="46.7109375" style="19" customWidth="1"/>
    <col min="6" max="6" width="8.421875" style="19" customWidth="1"/>
    <col min="7" max="7" width="14.7109375" style="19" customWidth="1"/>
    <col min="8" max="8" width="6.00390625" style="19" customWidth="1"/>
    <col min="9" max="9" width="14.421875" style="19" customWidth="1"/>
    <col min="10" max="10" width="13.421875" style="19" bestFit="1" customWidth="1"/>
    <col min="11" max="11" width="12.28125" style="19" customWidth="1"/>
    <col min="12" max="13" width="12.421875" style="19" bestFit="1" customWidth="1"/>
    <col min="14" max="16384" width="9.140625" style="19" customWidth="1"/>
  </cols>
  <sheetData>
    <row r="1" spans="1:7" ht="21">
      <c r="A1" s="180" t="s">
        <v>241</v>
      </c>
      <c r="B1" s="180"/>
      <c r="C1" s="180"/>
      <c r="D1" s="180"/>
      <c r="E1" s="180"/>
      <c r="F1" s="180"/>
      <c r="G1" s="180"/>
    </row>
    <row r="2" spans="1:8" ht="21">
      <c r="A2" s="180" t="s">
        <v>204</v>
      </c>
      <c r="B2" s="180"/>
      <c r="C2" s="180"/>
      <c r="D2" s="180"/>
      <c r="E2" s="180"/>
      <c r="F2" s="180"/>
      <c r="G2" s="180"/>
      <c r="H2" s="180"/>
    </row>
    <row r="3" spans="1:9" ht="21.75" thickBot="1">
      <c r="A3" s="186" t="s">
        <v>333</v>
      </c>
      <c r="B3" s="186"/>
      <c r="C3" s="186"/>
      <c r="D3" s="186"/>
      <c r="E3" s="186"/>
      <c r="F3" s="186"/>
      <c r="G3" s="186"/>
      <c r="H3" s="17"/>
      <c r="I3" s="96" t="s">
        <v>243</v>
      </c>
    </row>
    <row r="4" spans="1:8" ht="20.25" thickBot="1" thickTop="1">
      <c r="A4" s="182" t="s">
        <v>0</v>
      </c>
      <c r="B4" s="183"/>
      <c r="C4" s="183"/>
      <c r="D4" s="183"/>
      <c r="E4" s="74"/>
      <c r="F4" s="78"/>
      <c r="G4" s="99" t="s">
        <v>53</v>
      </c>
      <c r="H4" s="124"/>
    </row>
    <row r="5" spans="1:9" ht="18.75">
      <c r="A5" s="75"/>
      <c r="B5" s="94" t="s">
        <v>205</v>
      </c>
      <c r="C5" s="75"/>
      <c r="D5" s="75" t="s">
        <v>242</v>
      </c>
      <c r="E5" s="76" t="s">
        <v>4</v>
      </c>
      <c r="F5" s="77" t="s">
        <v>5</v>
      </c>
      <c r="G5" s="100" t="s">
        <v>7</v>
      </c>
      <c r="H5" s="125">
        <v>1</v>
      </c>
      <c r="I5" s="19" t="s">
        <v>244</v>
      </c>
    </row>
    <row r="6" spans="1:9" ht="18.75">
      <c r="A6" s="77" t="s">
        <v>1</v>
      </c>
      <c r="B6" s="77" t="s">
        <v>206</v>
      </c>
      <c r="C6" s="77" t="s">
        <v>31</v>
      </c>
      <c r="D6" s="77" t="s">
        <v>3</v>
      </c>
      <c r="E6" s="74"/>
      <c r="F6" s="77" t="s">
        <v>6</v>
      </c>
      <c r="G6" s="100" t="s">
        <v>3</v>
      </c>
      <c r="H6" s="125">
        <v>2</v>
      </c>
      <c r="I6" s="19" t="s">
        <v>246</v>
      </c>
    </row>
    <row r="7" spans="1:9" ht="19.5" thickBot="1">
      <c r="A7" s="79" t="s">
        <v>208</v>
      </c>
      <c r="B7" s="79" t="s">
        <v>207</v>
      </c>
      <c r="C7" s="79" t="s">
        <v>208</v>
      </c>
      <c r="D7" s="79" t="s">
        <v>208</v>
      </c>
      <c r="E7" s="80"/>
      <c r="F7" s="79"/>
      <c r="G7" s="101" t="s">
        <v>2</v>
      </c>
      <c r="H7" s="125">
        <v>3</v>
      </c>
      <c r="I7" s="19" t="s">
        <v>245</v>
      </c>
    </row>
    <row r="8" spans="1:9" ht="19.5" thickTop="1">
      <c r="A8" s="74"/>
      <c r="B8" s="74"/>
      <c r="C8" s="74"/>
      <c r="D8" s="74"/>
      <c r="E8" s="86" t="s">
        <v>8</v>
      </c>
      <c r="F8" s="86"/>
      <c r="G8" s="121">
        <v>83442655.66</v>
      </c>
      <c r="H8" s="97">
        <v>4</v>
      </c>
      <c r="I8" s="19" t="s">
        <v>247</v>
      </c>
    </row>
    <row r="9" spans="1:9" ht="18.75">
      <c r="A9" s="74"/>
      <c r="B9" s="74"/>
      <c r="C9" s="74"/>
      <c r="D9" s="74"/>
      <c r="E9" s="126" t="s">
        <v>271</v>
      </c>
      <c r="F9" s="92"/>
      <c r="G9" s="92"/>
      <c r="H9" s="97">
        <v>5</v>
      </c>
      <c r="I9" s="98" t="s">
        <v>248</v>
      </c>
    </row>
    <row r="10" spans="1:8" ht="18.75">
      <c r="A10" s="105">
        <v>12200000</v>
      </c>
      <c r="B10" s="74"/>
      <c r="C10" s="74"/>
      <c r="D10" s="114">
        <f>71652.6+48905+54549.25+1086360.15+5536457+3225319.5+944320.1</f>
        <v>10967563.6</v>
      </c>
      <c r="E10" s="92" t="s">
        <v>81</v>
      </c>
      <c r="F10" s="82" t="s">
        <v>278</v>
      </c>
      <c r="G10" s="122">
        <v>944320.1</v>
      </c>
      <c r="H10" s="97"/>
    </row>
    <row r="11" spans="1:8" ht="18.75">
      <c r="A11" s="105">
        <v>4140000</v>
      </c>
      <c r="B11" s="74"/>
      <c r="C11" s="74"/>
      <c r="D11" s="114">
        <f>124174+350286+307352+1569111+424467+391554+254773.75</f>
        <v>3421717.75</v>
      </c>
      <c r="E11" s="92" t="s">
        <v>82</v>
      </c>
      <c r="F11" s="82" t="s">
        <v>279</v>
      </c>
      <c r="G11" s="122">
        <v>254773.75</v>
      </c>
      <c r="H11" s="97"/>
    </row>
    <row r="12" spans="1:7" ht="18.75">
      <c r="A12" s="105">
        <v>1200000</v>
      </c>
      <c r="B12" s="74"/>
      <c r="C12" s="74"/>
      <c r="D12" s="114">
        <f>17594.18+29010.33+22739.11+148778.75+28602.25+15998.42+9690</f>
        <v>272413.04</v>
      </c>
      <c r="E12" s="92" t="s">
        <v>83</v>
      </c>
      <c r="F12" s="82" t="s">
        <v>280</v>
      </c>
      <c r="G12" s="122">
        <v>9690</v>
      </c>
    </row>
    <row r="13" spans="1:7" ht="18.75">
      <c r="A13" s="105">
        <v>1110000</v>
      </c>
      <c r="B13" s="74"/>
      <c r="C13" s="74"/>
      <c r="D13" s="114">
        <f>42236.05+338450+41325+51120.27+42080.19+27892+23975</f>
        <v>567078.51</v>
      </c>
      <c r="E13" s="92" t="s">
        <v>84</v>
      </c>
      <c r="F13" s="82" t="s">
        <v>281</v>
      </c>
      <c r="G13" s="122">
        <v>23975</v>
      </c>
    </row>
    <row r="14" spans="1:7" ht="18.75">
      <c r="A14" s="105">
        <v>151350000</v>
      </c>
      <c r="B14" s="74"/>
      <c r="C14" s="74"/>
      <c r="D14" s="114">
        <f>15083556.63+10091715.22+12163871.75+13111772.72+11137384.76+10199737.01+8810931.16</f>
        <v>80598969.25</v>
      </c>
      <c r="E14" s="92" t="s">
        <v>85</v>
      </c>
      <c r="F14" s="82" t="s">
        <v>282</v>
      </c>
      <c r="G14" s="122">
        <v>8810931.16</v>
      </c>
    </row>
    <row r="15" spans="1:9" ht="18.75">
      <c r="A15" s="105">
        <v>65000000</v>
      </c>
      <c r="B15" s="74"/>
      <c r="C15" s="74"/>
      <c r="D15" s="114">
        <v>50898482</v>
      </c>
      <c r="E15" s="92" t="s">
        <v>91</v>
      </c>
      <c r="F15" s="82" t="s">
        <v>283</v>
      </c>
      <c r="G15" s="122">
        <f>9971902</f>
        <v>9971902</v>
      </c>
      <c r="I15" s="116">
        <f>+G15+G14+G13+G12+G11+G10</f>
        <v>20015592.01</v>
      </c>
    </row>
    <row r="16" spans="1:9" ht="18.75">
      <c r="A16" s="105"/>
      <c r="B16" s="74"/>
      <c r="C16" s="74"/>
      <c r="D16" s="114">
        <v>185700</v>
      </c>
      <c r="E16" s="92" t="s">
        <v>339</v>
      </c>
      <c r="F16" s="82" t="s">
        <v>338</v>
      </c>
      <c r="G16" s="122">
        <v>12000</v>
      </c>
      <c r="I16" s="116"/>
    </row>
    <row r="17" spans="1:7" ht="18.75">
      <c r="A17" s="105"/>
      <c r="B17" s="74"/>
      <c r="C17" s="74"/>
      <c r="D17" s="114">
        <f aca="true" t="shared" si="0" ref="D17:D34">+G17</f>
        <v>0</v>
      </c>
      <c r="E17" s="92" t="s">
        <v>37</v>
      </c>
      <c r="F17" s="82" t="s">
        <v>284</v>
      </c>
      <c r="G17" s="122">
        <f>Sheet1!M9</f>
        <v>0</v>
      </c>
    </row>
    <row r="18" spans="1:9" ht="18.75">
      <c r="A18" s="105"/>
      <c r="B18" s="74"/>
      <c r="C18" s="74"/>
      <c r="D18" s="114">
        <f t="shared" si="0"/>
        <v>0</v>
      </c>
      <c r="E18" s="92" t="s">
        <v>86</v>
      </c>
      <c r="F18" s="82" t="s">
        <v>285</v>
      </c>
      <c r="G18" s="122">
        <f>Sheet1!M10</f>
        <v>0</v>
      </c>
      <c r="I18" s="116">
        <f>+D15+D14+D13+D12+D11+D10</f>
        <v>146726224.15</v>
      </c>
    </row>
    <row r="19" spans="1:7" ht="18.75">
      <c r="A19" s="105"/>
      <c r="B19" s="74"/>
      <c r="C19" s="74"/>
      <c r="D19" s="114">
        <f>32700+13700+12857+1000+1000+1000</f>
        <v>62257</v>
      </c>
      <c r="E19" s="92" t="s">
        <v>87</v>
      </c>
      <c r="F19" s="82" t="s">
        <v>286</v>
      </c>
      <c r="G19" s="122">
        <v>1000</v>
      </c>
    </row>
    <row r="20" spans="1:7" ht="18.75">
      <c r="A20" s="105"/>
      <c r="B20" s="74"/>
      <c r="C20" s="74"/>
      <c r="D20" s="114">
        <f>95600+1678594+1583920+39300+1732600+1659380+1634033.12+1304381</f>
        <v>9727808.120000001</v>
      </c>
      <c r="E20" s="92" t="s">
        <v>88</v>
      </c>
      <c r="F20" s="82" t="s">
        <v>287</v>
      </c>
      <c r="G20" s="122">
        <v>1304381</v>
      </c>
    </row>
    <row r="21" spans="1:7" ht="18.75">
      <c r="A21" s="105"/>
      <c r="B21" s="74"/>
      <c r="C21" s="74"/>
      <c r="D21" s="114">
        <f t="shared" si="0"/>
        <v>0</v>
      </c>
      <c r="E21" s="92" t="s">
        <v>89</v>
      </c>
      <c r="F21" s="82" t="s">
        <v>288</v>
      </c>
      <c r="G21" s="122">
        <f>Sheet1!M13</f>
        <v>0</v>
      </c>
    </row>
    <row r="22" spans="1:7" ht="18.75">
      <c r="A22" s="105"/>
      <c r="B22" s="74"/>
      <c r="C22" s="74"/>
      <c r="D22" s="114">
        <f>23600+6800</f>
        <v>30400</v>
      </c>
      <c r="E22" s="92" t="s">
        <v>169</v>
      </c>
      <c r="F22" s="82" t="s">
        <v>289</v>
      </c>
      <c r="G22" s="122">
        <v>0</v>
      </c>
    </row>
    <row r="23" spans="1:9" ht="18.75">
      <c r="A23" s="105"/>
      <c r="B23" s="74"/>
      <c r="C23" s="74"/>
      <c r="D23" s="114">
        <f>940485.79+3796141.53+800+857340.71+3163896.24+2569460.71+1776493.05+915033.54</f>
        <v>14019651.57</v>
      </c>
      <c r="E23" s="92" t="s">
        <v>11</v>
      </c>
      <c r="F23" s="82" t="s">
        <v>320</v>
      </c>
      <c r="G23" s="122">
        <f>+หมายเหตุ!C32</f>
        <v>915033.54</v>
      </c>
      <c r="I23" s="116" t="e">
        <f>+G23+#REF!+#REF!+G22+G21+G20+G19</f>
        <v>#REF!</v>
      </c>
    </row>
    <row r="24" spans="1:7" ht="18.75">
      <c r="A24" s="105"/>
      <c r="B24" s="74"/>
      <c r="C24" s="74"/>
      <c r="D24" s="114">
        <f>68202.38+20850+6500+15200</f>
        <v>110752.38</v>
      </c>
      <c r="E24" s="66" t="s">
        <v>12</v>
      </c>
      <c r="F24" s="82" t="s">
        <v>290</v>
      </c>
      <c r="G24" s="122">
        <v>0</v>
      </c>
    </row>
    <row r="25" spans="1:7" ht="18.75">
      <c r="A25" s="105"/>
      <c r="B25" s="74"/>
      <c r="C25" s="74"/>
      <c r="D25" s="114">
        <f t="shared" si="0"/>
        <v>0</v>
      </c>
      <c r="E25" s="66" t="s">
        <v>125</v>
      </c>
      <c r="F25" s="82" t="s">
        <v>291</v>
      </c>
      <c r="G25" s="122">
        <f>Sheet1!M18</f>
        <v>0</v>
      </c>
    </row>
    <row r="26" spans="1:7" ht="18.75">
      <c r="A26" s="105"/>
      <c r="B26" s="74"/>
      <c r="C26" s="74"/>
      <c r="D26" s="114">
        <f t="shared" si="0"/>
        <v>0</v>
      </c>
      <c r="E26" s="66" t="s">
        <v>105</v>
      </c>
      <c r="F26" s="82" t="s">
        <v>292</v>
      </c>
      <c r="G26" s="122">
        <f>Sheet1!M16</f>
        <v>0</v>
      </c>
    </row>
    <row r="27" spans="1:10" ht="18.75">
      <c r="A27" s="105"/>
      <c r="B27" s="74"/>
      <c r="C27" s="74"/>
      <c r="D27" s="114">
        <f t="shared" si="0"/>
        <v>0</v>
      </c>
      <c r="E27" s="66" t="s">
        <v>77</v>
      </c>
      <c r="F27" s="82" t="s">
        <v>321</v>
      </c>
      <c r="G27" s="122">
        <f>Sheet1!M17</f>
        <v>0</v>
      </c>
      <c r="J27" s="19" t="s">
        <v>203</v>
      </c>
    </row>
    <row r="28" spans="1:7" ht="18.75">
      <c r="A28" s="105"/>
      <c r="B28" s="74"/>
      <c r="C28" s="74"/>
      <c r="D28" s="114">
        <f t="shared" si="0"/>
        <v>0</v>
      </c>
      <c r="E28" s="66" t="s">
        <v>21</v>
      </c>
      <c r="F28" s="82" t="s">
        <v>293</v>
      </c>
      <c r="G28" s="122">
        <v>0</v>
      </c>
    </row>
    <row r="29" spans="1:7" ht="18.75">
      <c r="A29" s="105"/>
      <c r="B29" s="74"/>
      <c r="C29" s="74"/>
      <c r="D29" s="114">
        <f t="shared" si="0"/>
        <v>0</v>
      </c>
      <c r="E29" s="66" t="s">
        <v>172</v>
      </c>
      <c r="F29" s="82" t="s">
        <v>294</v>
      </c>
      <c r="G29" s="122">
        <f>Sheet1!M19</f>
        <v>0</v>
      </c>
    </row>
    <row r="30" spans="1:7" ht="18.75">
      <c r="A30" s="105"/>
      <c r="B30" s="74"/>
      <c r="C30" s="74"/>
      <c r="D30" s="114">
        <f>63300+1500+700+700+600</f>
        <v>66800</v>
      </c>
      <c r="E30" s="66" t="s">
        <v>14</v>
      </c>
      <c r="F30" s="83" t="s">
        <v>295</v>
      </c>
      <c r="G30" s="122">
        <v>600</v>
      </c>
    </row>
    <row r="31" spans="1:7" ht="21">
      <c r="A31" s="105"/>
      <c r="B31" s="74"/>
      <c r="C31" s="74"/>
      <c r="D31" s="114">
        <f>10680+11905</f>
        <v>22585</v>
      </c>
      <c r="E31" s="66" t="s">
        <v>121</v>
      </c>
      <c r="F31" s="82" t="s">
        <v>310</v>
      </c>
      <c r="G31" s="27">
        <v>11905</v>
      </c>
    </row>
    <row r="32" spans="1:7" ht="21">
      <c r="A32" s="105"/>
      <c r="B32" s="74"/>
      <c r="C32" s="74"/>
      <c r="D32" s="114">
        <f>41027.61+90636.88</f>
        <v>131664.49</v>
      </c>
      <c r="E32" s="66" t="s">
        <v>167</v>
      </c>
      <c r="F32" s="82" t="s">
        <v>310</v>
      </c>
      <c r="G32" s="27">
        <v>90636.88</v>
      </c>
    </row>
    <row r="33" spans="1:7" ht="18.75">
      <c r="A33" s="105"/>
      <c r="B33" s="74"/>
      <c r="C33" s="74"/>
      <c r="D33" s="114">
        <f t="shared" si="0"/>
        <v>0</v>
      </c>
      <c r="E33" s="66" t="s">
        <v>15</v>
      </c>
      <c r="F33" s="82" t="s">
        <v>311</v>
      </c>
      <c r="G33" s="122">
        <f>Sheet1!M24</f>
        <v>0</v>
      </c>
    </row>
    <row r="34" spans="1:7" ht="18.75">
      <c r="A34" s="105"/>
      <c r="B34" s="74"/>
      <c r="C34" s="74"/>
      <c r="D34" s="114">
        <f t="shared" si="0"/>
        <v>0</v>
      </c>
      <c r="E34" s="66" t="s">
        <v>16</v>
      </c>
      <c r="F34" s="82" t="s">
        <v>298</v>
      </c>
      <c r="G34" s="122">
        <f>Sheet1!M25</f>
        <v>0</v>
      </c>
    </row>
    <row r="35" spans="1:7" ht="18.75">
      <c r="A35" s="105"/>
      <c r="B35" s="74"/>
      <c r="C35" s="74"/>
      <c r="D35" s="114">
        <f>20+256+170</f>
        <v>446</v>
      </c>
      <c r="E35" s="66" t="s">
        <v>18</v>
      </c>
      <c r="F35" s="84" t="s">
        <v>300</v>
      </c>
      <c r="G35" s="122">
        <v>0</v>
      </c>
    </row>
    <row r="36" spans="1:7" ht="18.75">
      <c r="A36" s="74"/>
      <c r="B36" s="74"/>
      <c r="C36" s="74"/>
      <c r="D36" s="74"/>
      <c r="E36" s="66"/>
      <c r="F36" s="82"/>
      <c r="G36" s="123"/>
    </row>
    <row r="37" spans="1:7" ht="18.75">
      <c r="A37" s="74"/>
      <c r="B37" s="74"/>
      <c r="C37" s="74"/>
      <c r="D37" s="74"/>
      <c r="E37" s="66"/>
      <c r="F37" s="82"/>
      <c r="G37" s="123"/>
    </row>
    <row r="38" spans="1:7" ht="19.5" thickBot="1">
      <c r="A38" s="74"/>
      <c r="B38" s="74"/>
      <c r="C38" s="74"/>
      <c r="D38" s="74"/>
      <c r="E38" s="66"/>
      <c r="F38" s="82"/>
      <c r="G38" s="123"/>
    </row>
    <row r="39" spans="1:7" ht="19.5" thickBot="1">
      <c r="A39" s="106">
        <f>SUM(A10:A17)</f>
        <v>235000000</v>
      </c>
      <c r="B39" s="85"/>
      <c r="C39" s="85"/>
      <c r="D39" s="115">
        <f>SUM(D10:D37)</f>
        <v>171084288.71</v>
      </c>
      <c r="E39" s="127" t="s">
        <v>25</v>
      </c>
      <c r="F39" s="128"/>
      <c r="G39" s="106">
        <f>SUM(G10:G38)</f>
        <v>22351148.429999996</v>
      </c>
    </row>
    <row r="40" spans="1:7" ht="24.75" customHeight="1" thickBot="1" thickTop="1">
      <c r="A40" s="181" t="s">
        <v>209</v>
      </c>
      <c r="B40" s="181"/>
      <c r="C40" s="181"/>
      <c r="D40" s="181"/>
      <c r="E40" s="181"/>
      <c r="F40" s="181"/>
      <c r="G40" s="181"/>
    </row>
    <row r="41" spans="1:7" ht="19.5" thickBot="1">
      <c r="A41" s="184" t="s">
        <v>0</v>
      </c>
      <c r="B41" s="185"/>
      <c r="C41" s="185"/>
      <c r="D41" s="185"/>
      <c r="E41" s="81"/>
      <c r="F41" s="81"/>
      <c r="G41" s="158" t="s">
        <v>53</v>
      </c>
    </row>
    <row r="42" spans="1:7" ht="18.75">
      <c r="A42" s="75"/>
      <c r="B42" s="94" t="s">
        <v>205</v>
      </c>
      <c r="C42" s="75"/>
      <c r="D42" s="75"/>
      <c r="E42" s="76" t="s">
        <v>4</v>
      </c>
      <c r="F42" s="77" t="s">
        <v>5</v>
      </c>
      <c r="G42" s="159" t="s">
        <v>7</v>
      </c>
    </row>
    <row r="43" spans="1:7" ht="18.75">
      <c r="A43" s="77" t="s">
        <v>1</v>
      </c>
      <c r="B43" s="77" t="s">
        <v>206</v>
      </c>
      <c r="C43" s="77" t="s">
        <v>31</v>
      </c>
      <c r="D43" s="77" t="s">
        <v>3</v>
      </c>
      <c r="E43" s="74"/>
      <c r="F43" s="77" t="s">
        <v>6</v>
      </c>
      <c r="G43" s="100" t="s">
        <v>3</v>
      </c>
    </row>
    <row r="44" spans="1:7" ht="19.5" thickBot="1">
      <c r="A44" s="95" t="s">
        <v>208</v>
      </c>
      <c r="B44" s="95" t="s">
        <v>207</v>
      </c>
      <c r="C44" s="95" t="s">
        <v>208</v>
      </c>
      <c r="D44" s="95" t="s">
        <v>208</v>
      </c>
      <c r="E44" s="80"/>
      <c r="F44" s="77"/>
      <c r="G44" s="101" t="s">
        <v>2</v>
      </c>
    </row>
    <row r="45" spans="1:7" ht="19.5" thickTop="1">
      <c r="A45" s="73"/>
      <c r="B45" s="73"/>
      <c r="C45" s="73"/>
      <c r="D45" s="73"/>
      <c r="E45" s="129" t="s">
        <v>13</v>
      </c>
      <c r="F45" s="130"/>
      <c r="G45" s="86"/>
    </row>
    <row r="46" spans="1:9" ht="18.75">
      <c r="A46" s="105">
        <v>41549770</v>
      </c>
      <c r="B46" s="74"/>
      <c r="C46" s="74"/>
      <c r="D46" s="132">
        <f>2576248.4+6275650.6+1812864.4+2765714.4+3366013.4+2712274.4+3017456.41</f>
        <v>22526222.009999998</v>
      </c>
      <c r="E46" s="131" t="s">
        <v>14</v>
      </c>
      <c r="F46" s="83" t="s">
        <v>312</v>
      </c>
      <c r="G46" s="132">
        <v>3017456.41</v>
      </c>
      <c r="I46" s="38"/>
    </row>
    <row r="47" spans="1:9" ht="18.75">
      <c r="A47" s="105">
        <v>4426920</v>
      </c>
      <c r="B47" s="74"/>
      <c r="C47" s="74"/>
      <c r="D47" s="132">
        <f>170970+170970+170970+170970+170970+170970+170970</f>
        <v>1196790</v>
      </c>
      <c r="E47" s="131" t="s">
        <v>120</v>
      </c>
      <c r="F47" s="83" t="s">
        <v>313</v>
      </c>
      <c r="G47" s="132">
        <v>170970</v>
      </c>
      <c r="I47" s="38"/>
    </row>
    <row r="48" spans="1:9" ht="18.75">
      <c r="A48" s="105">
        <v>29869100</v>
      </c>
      <c r="B48" s="74"/>
      <c r="C48" s="74"/>
      <c r="D48" s="132">
        <f>2122521.29+2077498.3+2147654.84+2092774.84+2102480+2035827.58+2231537</f>
        <v>14810293.85</v>
      </c>
      <c r="E48" s="131" t="s">
        <v>165</v>
      </c>
      <c r="F48" s="83" t="s">
        <v>309</v>
      </c>
      <c r="G48" s="132">
        <v>2231537</v>
      </c>
      <c r="I48" s="38"/>
    </row>
    <row r="49" spans="1:9" ht="18.75">
      <c r="A49" s="105">
        <f>424100+463100+163000+5800</f>
        <v>1056000</v>
      </c>
      <c r="B49" s="74"/>
      <c r="C49" s="74"/>
      <c r="D49" s="132">
        <f>83680+83680+83680+83680+83680+83680+83680</f>
        <v>585760</v>
      </c>
      <c r="E49" s="131" t="s">
        <v>166</v>
      </c>
      <c r="F49" s="83" t="s">
        <v>309</v>
      </c>
      <c r="G49" s="132">
        <v>83680</v>
      </c>
      <c r="I49" s="38"/>
    </row>
    <row r="50" spans="1:9" ht="18.75">
      <c r="A50" s="105">
        <v>39830400</v>
      </c>
      <c r="B50" s="74"/>
      <c r="C50" s="74"/>
      <c r="D50" s="132">
        <f>3183022.02+3133720+3295590.96+3340674.19+3364662.83+3457925+3371751.67</f>
        <v>23147346.67</v>
      </c>
      <c r="E50" s="131" t="s">
        <v>167</v>
      </c>
      <c r="F50" s="83" t="s">
        <v>296</v>
      </c>
      <c r="G50" s="132">
        <v>3371751.67</v>
      </c>
      <c r="I50" s="38"/>
    </row>
    <row r="51" spans="1:9" ht="18.75">
      <c r="A51" s="105">
        <v>6504500</v>
      </c>
      <c r="B51" s="74"/>
      <c r="C51" s="74"/>
      <c r="D51" s="132">
        <f>136440+197743.88+175555+245645+194770+248038.25+114730</f>
        <v>1312922.13</v>
      </c>
      <c r="E51" s="131" t="s">
        <v>15</v>
      </c>
      <c r="F51" s="83" t="s">
        <v>297</v>
      </c>
      <c r="G51" s="132">
        <v>114730</v>
      </c>
      <c r="I51" s="38"/>
    </row>
    <row r="52" spans="1:9" ht="18.75">
      <c r="A52" s="105">
        <v>34672100</v>
      </c>
      <c r="B52" s="74"/>
      <c r="C52" s="74"/>
      <c r="D52" s="132">
        <f>36466+1096057.42+1722113.44+2298905.68+1607118.85+1367406.37+1886873.66</f>
        <v>10014941.42</v>
      </c>
      <c r="E52" s="131" t="s">
        <v>16</v>
      </c>
      <c r="F52" s="84" t="s">
        <v>301</v>
      </c>
      <c r="G52" s="132">
        <v>1886873.66</v>
      </c>
      <c r="I52" s="38"/>
    </row>
    <row r="53" spans="1:9" ht="18.75">
      <c r="A53" s="105">
        <v>11432110</v>
      </c>
      <c r="B53" s="74"/>
      <c r="C53" s="74"/>
      <c r="D53" s="132">
        <f>88511.97+528463.35+493981.82+917370.85+750067.67+940320.81+1410319.43</f>
        <v>5129035.899999999</v>
      </c>
      <c r="E53" s="131" t="s">
        <v>17</v>
      </c>
      <c r="F53" s="84" t="s">
        <v>299</v>
      </c>
      <c r="G53" s="132">
        <v>1410319.43</v>
      </c>
      <c r="I53" s="38"/>
    </row>
    <row r="54" spans="1:9" ht="18.75">
      <c r="A54" s="105">
        <v>2475000</v>
      </c>
      <c r="B54" s="74"/>
      <c r="C54" s="74"/>
      <c r="D54" s="132">
        <f>165636.2+144089.59+173595+170797.29+124999.72+190771.35+164698.34</f>
        <v>1134587.49</v>
      </c>
      <c r="E54" s="131" t="s">
        <v>18</v>
      </c>
      <c r="F54" s="84" t="s">
        <v>302</v>
      </c>
      <c r="G54" s="132">
        <v>164698.34</v>
      </c>
      <c r="I54" s="38"/>
    </row>
    <row r="55" spans="1:9" ht="18.75">
      <c r="A55" s="105">
        <v>21487700</v>
      </c>
      <c r="B55" s="74"/>
      <c r="C55" s="74"/>
      <c r="D55" s="105">
        <f>40453.8+21346.33+159831+51500+111600+184470</f>
        <v>569201.13</v>
      </c>
      <c r="E55" s="131" t="s">
        <v>19</v>
      </c>
      <c r="F55" s="84" t="s">
        <v>322</v>
      </c>
      <c r="G55" s="132">
        <v>184470</v>
      </c>
      <c r="I55" s="38"/>
    </row>
    <row r="56" spans="1:9" ht="21">
      <c r="A56" s="105"/>
      <c r="B56" s="74"/>
      <c r="C56" s="74"/>
      <c r="D56" s="162">
        <v>95900</v>
      </c>
      <c r="E56" s="163" t="s">
        <v>317</v>
      </c>
      <c r="F56" s="84" t="s">
        <v>318</v>
      </c>
      <c r="G56" s="164">
        <v>0</v>
      </c>
      <c r="I56" s="38"/>
    </row>
    <row r="57" spans="1:9" ht="18.75">
      <c r="A57" s="105">
        <v>36920400</v>
      </c>
      <c r="B57" s="74"/>
      <c r="C57" s="74"/>
      <c r="D57" s="105">
        <f>2325000+2793600+4495500+2872500</f>
        <v>12486600</v>
      </c>
      <c r="E57" s="131" t="s">
        <v>20</v>
      </c>
      <c r="F57" s="84" t="s">
        <v>303</v>
      </c>
      <c r="G57" s="132">
        <v>2872500</v>
      </c>
      <c r="I57" s="38"/>
    </row>
    <row r="58" spans="1:14" ht="18.75">
      <c r="A58" s="105">
        <v>4776000</v>
      </c>
      <c r="B58" s="74"/>
      <c r="C58" s="74"/>
      <c r="D58" s="105">
        <f>804000+93150+10000+870000+258000</f>
        <v>2035150</v>
      </c>
      <c r="E58" s="131" t="s">
        <v>10</v>
      </c>
      <c r="F58" s="84" t="s">
        <v>304</v>
      </c>
      <c r="G58" s="132">
        <v>258000</v>
      </c>
      <c r="I58" s="38">
        <f>+G58+G55+G54+G53+G52+G51+G50+G49+G48+G47+G46</f>
        <v>12894486.51</v>
      </c>
      <c r="J58" s="38">
        <f>+D58+D57+D55+D54+D53+D52+D51+D50+D49+D48+D47+D46</f>
        <v>94948850.6</v>
      </c>
      <c r="K58" s="38"/>
      <c r="L58" s="38"/>
      <c r="M58" s="38"/>
      <c r="N58" s="38"/>
    </row>
    <row r="59" spans="1:9" ht="18.75">
      <c r="A59" s="105"/>
      <c r="B59" s="74"/>
      <c r="C59" s="74"/>
      <c r="D59" s="105">
        <f aca="true" t="shared" si="1" ref="D59:D71">+G59</f>
        <v>0</v>
      </c>
      <c r="E59" s="131" t="s">
        <v>147</v>
      </c>
      <c r="F59" s="84" t="s">
        <v>305</v>
      </c>
      <c r="G59" s="132">
        <v>0</v>
      </c>
      <c r="I59" s="38"/>
    </row>
    <row r="60" spans="1:9" ht="18.75">
      <c r="A60" s="74"/>
      <c r="B60" s="74"/>
      <c r="C60" s="74"/>
      <c r="D60" s="105">
        <f t="shared" si="1"/>
        <v>0</v>
      </c>
      <c r="E60" s="131" t="s">
        <v>118</v>
      </c>
      <c r="F60" s="84" t="s">
        <v>326</v>
      </c>
      <c r="G60" s="132">
        <v>0</v>
      </c>
      <c r="I60" s="38"/>
    </row>
    <row r="61" spans="1:9" ht="18.75">
      <c r="A61" s="74"/>
      <c r="B61" s="74"/>
      <c r="C61" s="74"/>
      <c r="D61" s="105">
        <f>45944+3252420+189150+1689150+1767054+1566640.12+1431770</f>
        <v>9942128.120000001</v>
      </c>
      <c r="E61" s="131" t="s">
        <v>111</v>
      </c>
      <c r="F61" s="84" t="s">
        <v>287</v>
      </c>
      <c r="G61" s="132">
        <v>1431770</v>
      </c>
      <c r="I61" s="38"/>
    </row>
    <row r="62" spans="1:9" ht="18.75">
      <c r="A62" s="74"/>
      <c r="B62" s="74"/>
      <c r="C62" s="74"/>
      <c r="D62" s="105">
        <f t="shared" si="1"/>
        <v>0</v>
      </c>
      <c r="E62" s="131" t="s">
        <v>112</v>
      </c>
      <c r="F62" s="82" t="s">
        <v>288</v>
      </c>
      <c r="G62" s="132">
        <f>Sheet1!M53</f>
        <v>0</v>
      </c>
      <c r="I62" s="38"/>
    </row>
    <row r="63" spans="1:9" ht="18.75">
      <c r="A63" s="74"/>
      <c r="B63" s="74"/>
      <c r="C63" s="74"/>
      <c r="D63" s="105">
        <f t="shared" si="1"/>
        <v>0</v>
      </c>
      <c r="E63" s="131" t="s">
        <v>113</v>
      </c>
      <c r="F63" s="82" t="s">
        <v>286</v>
      </c>
      <c r="G63" s="117"/>
      <c r="I63" s="38"/>
    </row>
    <row r="64" spans="1:9" ht="18.75">
      <c r="A64" s="74"/>
      <c r="B64" s="74"/>
      <c r="C64" s="74"/>
      <c r="D64" s="105">
        <f>23600+6800</f>
        <v>30400</v>
      </c>
      <c r="E64" s="131" t="s">
        <v>175</v>
      </c>
      <c r="F64" s="82" t="s">
        <v>289</v>
      </c>
      <c r="G64" s="117">
        <v>0</v>
      </c>
      <c r="I64" s="38"/>
    </row>
    <row r="65" spans="1:7" ht="18.75">
      <c r="A65" s="74"/>
      <c r="B65" s="74"/>
      <c r="C65" s="74"/>
      <c r="D65" s="105">
        <f t="shared" si="1"/>
        <v>0</v>
      </c>
      <c r="E65" s="131" t="s">
        <v>114</v>
      </c>
      <c r="F65" s="82" t="s">
        <v>284</v>
      </c>
      <c r="G65" s="117"/>
    </row>
    <row r="66" spans="1:7" ht="18.75">
      <c r="A66" s="74"/>
      <c r="B66" s="74"/>
      <c r="C66" s="74"/>
      <c r="D66" s="105">
        <f t="shared" si="1"/>
        <v>0</v>
      </c>
      <c r="E66" s="131" t="s">
        <v>115</v>
      </c>
      <c r="F66" s="82" t="s">
        <v>285</v>
      </c>
      <c r="G66" s="117"/>
    </row>
    <row r="67" spans="1:7" ht="18.75">
      <c r="A67" s="74"/>
      <c r="B67" s="74"/>
      <c r="C67" s="74"/>
      <c r="D67" s="105">
        <f t="shared" si="1"/>
        <v>0</v>
      </c>
      <c r="E67" s="131" t="s">
        <v>108</v>
      </c>
      <c r="F67" s="82" t="s">
        <v>306</v>
      </c>
      <c r="G67" s="117"/>
    </row>
    <row r="68" spans="1:7" ht="18.75">
      <c r="A68" s="74"/>
      <c r="B68" s="74"/>
      <c r="C68" s="74"/>
      <c r="D68" s="105">
        <f t="shared" si="1"/>
        <v>0</v>
      </c>
      <c r="E68" s="131" t="s">
        <v>105</v>
      </c>
      <c r="F68" s="82" t="s">
        <v>307</v>
      </c>
      <c r="G68" s="117"/>
    </row>
    <row r="69" spans="1:7" ht="18.75">
      <c r="A69" s="74"/>
      <c r="B69" s="74"/>
      <c r="C69" s="74"/>
      <c r="D69" s="105">
        <v>78200</v>
      </c>
      <c r="E69" s="131" t="s">
        <v>77</v>
      </c>
      <c r="F69" s="84" t="s">
        <v>321</v>
      </c>
      <c r="G69" s="117">
        <v>0</v>
      </c>
    </row>
    <row r="70" spans="1:7" ht="18.75">
      <c r="A70" s="74"/>
      <c r="B70" s="74"/>
      <c r="C70" s="74"/>
      <c r="D70" s="105">
        <f>132800+34000+400786.5+4780000</f>
        <v>5347586.5</v>
      </c>
      <c r="E70" s="131" t="s">
        <v>261</v>
      </c>
      <c r="F70" s="82" t="s">
        <v>323</v>
      </c>
      <c r="G70" s="117">
        <f>+หมายเหตุ!E38</f>
        <v>0</v>
      </c>
    </row>
    <row r="71" spans="1:7" ht="18.75">
      <c r="A71" s="74"/>
      <c r="B71" s="74"/>
      <c r="C71" s="74"/>
      <c r="D71" s="105">
        <f t="shared" si="1"/>
        <v>0</v>
      </c>
      <c r="E71" s="131" t="s">
        <v>249</v>
      </c>
      <c r="F71" s="84" t="s">
        <v>324</v>
      </c>
      <c r="G71" s="117"/>
    </row>
    <row r="72" spans="1:7" ht="18.75">
      <c r="A72" s="74"/>
      <c r="B72" s="74"/>
      <c r="C72" s="74"/>
      <c r="D72" s="105">
        <f>715046.52+1028367.48+3345496.48+1612704.96+1449421.98+3391495.96+1771533</f>
        <v>13314066.379999999</v>
      </c>
      <c r="E72" s="131" t="s">
        <v>11</v>
      </c>
      <c r="F72" s="84" t="s">
        <v>320</v>
      </c>
      <c r="G72" s="117">
        <f>+หมายเหตุ!D32</f>
        <v>1771533</v>
      </c>
    </row>
    <row r="73" spans="1:7" ht="18.75">
      <c r="A73" s="74"/>
      <c r="B73" s="74"/>
      <c r="C73" s="74"/>
      <c r="D73" s="105">
        <v>0</v>
      </c>
      <c r="E73" s="131" t="s">
        <v>12</v>
      </c>
      <c r="F73" s="84" t="s">
        <v>290</v>
      </c>
      <c r="G73" s="117">
        <v>0</v>
      </c>
    </row>
    <row r="74" spans="1:7" ht="18.75">
      <c r="A74" s="74"/>
      <c r="B74" s="74"/>
      <c r="C74" s="74"/>
      <c r="D74" s="105">
        <v>237847.96</v>
      </c>
      <c r="E74" s="131" t="s">
        <v>177</v>
      </c>
      <c r="F74" s="84" t="s">
        <v>308</v>
      </c>
      <c r="G74" s="117">
        <v>0</v>
      </c>
    </row>
    <row r="75" spans="1:7" ht="21">
      <c r="A75" s="74"/>
      <c r="B75" s="74"/>
      <c r="C75" s="74"/>
      <c r="D75" s="105"/>
      <c r="E75" s="21"/>
      <c r="F75" s="84"/>
      <c r="G75" s="156"/>
    </row>
    <row r="76" spans="1:7" ht="21">
      <c r="A76" s="74"/>
      <c r="B76" s="74"/>
      <c r="C76" s="74"/>
      <c r="D76" s="105"/>
      <c r="E76" s="21"/>
      <c r="F76" s="84"/>
      <c r="G76" s="156"/>
    </row>
    <row r="77" spans="1:7" ht="21">
      <c r="A77" s="74"/>
      <c r="B77" s="74"/>
      <c r="C77" s="74"/>
      <c r="D77" s="105"/>
      <c r="E77" s="21"/>
      <c r="F77" s="84"/>
      <c r="G77" s="156"/>
    </row>
    <row r="78" spans="1:7" ht="21">
      <c r="A78" s="74"/>
      <c r="B78" s="74"/>
      <c r="C78" s="74"/>
      <c r="D78" s="74"/>
      <c r="E78" s="21"/>
      <c r="F78" s="84"/>
      <c r="G78" s="156"/>
    </row>
    <row r="79" spans="1:7" ht="21.75" thickBot="1">
      <c r="A79" s="74"/>
      <c r="B79" s="74"/>
      <c r="C79" s="74"/>
      <c r="D79" s="74"/>
      <c r="E79" s="21"/>
      <c r="F79" s="84"/>
      <c r="G79" s="157"/>
    </row>
    <row r="80" spans="1:9" ht="19.5" thickBot="1">
      <c r="A80" s="107">
        <f>SUM(A46:A59)</f>
        <v>235000000</v>
      </c>
      <c r="B80" s="81"/>
      <c r="C80" s="81"/>
      <c r="D80" s="113">
        <f>SUM(D46:D78)</f>
        <v>123994979.55999999</v>
      </c>
      <c r="E80" s="133" t="s">
        <v>22</v>
      </c>
      <c r="F80" s="81"/>
      <c r="G80" s="118">
        <f>SUM(G46:G79)</f>
        <v>18970289.509999998</v>
      </c>
      <c r="I80" s="116">
        <f>+D80-กระแสเงินสด!E62</f>
        <v>0</v>
      </c>
    </row>
    <row r="81" spans="1:7" ht="18.75">
      <c r="A81" s="93"/>
      <c r="B81" s="93"/>
      <c r="C81" s="93"/>
      <c r="D81" s="73"/>
      <c r="E81" s="134" t="s">
        <v>23</v>
      </c>
      <c r="F81" s="93"/>
      <c r="G81" s="73"/>
    </row>
    <row r="82" spans="1:7" ht="18.75">
      <c r="A82" s="93"/>
      <c r="B82" s="93"/>
      <c r="C82" s="93"/>
      <c r="D82" s="74"/>
      <c r="E82" s="134" t="s">
        <v>26</v>
      </c>
      <c r="F82" s="93"/>
      <c r="G82" s="74"/>
    </row>
    <row r="83" spans="1:7" ht="19.5" thickBot="1">
      <c r="A83" s="93"/>
      <c r="B83" s="93"/>
      <c r="C83" s="93"/>
      <c r="D83" s="135">
        <f>+กระแสเงินสด!E63</f>
        <v>47089309.150000006</v>
      </c>
      <c r="E83" s="134" t="s">
        <v>27</v>
      </c>
      <c r="F83" s="93"/>
      <c r="G83" s="114">
        <f>+G39-G80</f>
        <v>3380858.919999998</v>
      </c>
    </row>
    <row r="84" spans="1:10" ht="19.5" thickBot="1">
      <c r="A84" s="93"/>
      <c r="B84" s="93"/>
      <c r="C84" s="93"/>
      <c r="D84" s="115">
        <f>+G84</f>
        <v>86823514.57999998</v>
      </c>
      <c r="E84" s="134" t="s">
        <v>24</v>
      </c>
      <c r="F84" s="93"/>
      <c r="G84" s="106">
        <f>+G8+G39-G80</f>
        <v>86823514.57999998</v>
      </c>
      <c r="I84" s="38" t="s">
        <v>203</v>
      </c>
      <c r="J84" s="116" t="s">
        <v>203</v>
      </c>
    </row>
    <row r="85" spans="6:7" ht="19.5" thickTop="1">
      <c r="F85" s="93"/>
      <c r="G85" s="93"/>
    </row>
    <row r="86" spans="1:4" ht="18.75">
      <c r="A86" s="93"/>
      <c r="B86" s="93"/>
      <c r="C86" s="93"/>
      <c r="D86" s="93"/>
    </row>
    <row r="87" ht="18.75">
      <c r="I87" s="19" t="s">
        <v>203</v>
      </c>
    </row>
  </sheetData>
  <sheetProtection/>
  <mergeCells count="6">
    <mergeCell ref="A40:G40"/>
    <mergeCell ref="A2:H2"/>
    <mergeCell ref="A4:D4"/>
    <mergeCell ref="A41:D41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horizontalDpi="600" verticalDpi="600" orientation="portrait" paperSize="9" scale="90" r:id="rId1"/>
  <rowBreaks count="1" manualBreakCount="1">
    <brk id="39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12" customWidth="1"/>
    <col min="2" max="2" width="57.7109375" style="12" customWidth="1"/>
    <col min="3" max="3" width="18.00390625" style="12" customWidth="1"/>
    <col min="4" max="16384" width="9.140625" style="12" customWidth="1"/>
  </cols>
  <sheetData>
    <row r="1" spans="1:3" ht="21">
      <c r="A1" s="180" t="s">
        <v>29</v>
      </c>
      <c r="B1" s="180"/>
      <c r="C1" s="180"/>
    </row>
    <row r="2" spans="1:3" ht="21">
      <c r="A2" s="180" t="s">
        <v>250</v>
      </c>
      <c r="B2" s="180"/>
      <c r="C2" s="180"/>
    </row>
    <row r="3" spans="1:3" ht="21">
      <c r="A3" s="180" t="s">
        <v>254</v>
      </c>
      <c r="B3" s="180"/>
      <c r="C3" s="180"/>
    </row>
    <row r="4" spans="1:3" ht="21">
      <c r="A4" s="10" t="s">
        <v>251</v>
      </c>
      <c r="B4" s="10"/>
      <c r="C4" s="10"/>
    </row>
    <row r="5" spans="1:3" ht="21">
      <c r="A5" s="102" t="s">
        <v>80</v>
      </c>
      <c r="B5" s="9"/>
      <c r="C5" s="9" t="s">
        <v>53</v>
      </c>
    </row>
    <row r="6" ht="21">
      <c r="B6" s="12" t="s">
        <v>203</v>
      </c>
    </row>
    <row r="10" ht="21">
      <c r="B10" s="13"/>
    </row>
    <row r="11" ht="21">
      <c r="B11" s="13"/>
    </row>
    <row r="12" spans="2:3" ht="21.75" thickBot="1">
      <c r="B12" s="103" t="s">
        <v>31</v>
      </c>
      <c r="C12" s="104">
        <f>SUM(C6:C11)</f>
        <v>0</v>
      </c>
    </row>
    <row r="13" spans="1:2" ht="21.75" thickTop="1">
      <c r="A13" s="10" t="s">
        <v>252</v>
      </c>
      <c r="B13" s="10"/>
    </row>
    <row r="14" spans="1:2" ht="21">
      <c r="A14" s="102" t="s">
        <v>80</v>
      </c>
      <c r="B14" s="9"/>
    </row>
    <row r="19" spans="2:3" ht="21.75" thickBot="1">
      <c r="B19" s="103" t="s">
        <v>31</v>
      </c>
      <c r="C19" s="104">
        <f>SUM(C8:C18)</f>
        <v>0</v>
      </c>
    </row>
    <row r="20" ht="21.75" thickTop="1"/>
    <row r="21" spans="1:2" ht="21">
      <c r="A21" s="10" t="s">
        <v>253</v>
      </c>
      <c r="B21" s="10"/>
    </row>
    <row r="22" ht="21">
      <c r="B22" s="12" t="s">
        <v>48</v>
      </c>
    </row>
    <row r="23" ht="21">
      <c r="B23" s="12" t="s">
        <v>78</v>
      </c>
    </row>
    <row r="24" ht="21">
      <c r="B24" s="12" t="s">
        <v>49</v>
      </c>
    </row>
    <row r="25" ht="21">
      <c r="B25" s="12" t="s">
        <v>79</v>
      </c>
    </row>
    <row r="26" ht="21">
      <c r="B26" s="12" t="s">
        <v>161</v>
      </c>
    </row>
    <row r="27" ht="21">
      <c r="B27" s="12" t="s">
        <v>9</v>
      </c>
    </row>
    <row r="28" ht="21">
      <c r="B28" s="12" t="s">
        <v>51</v>
      </c>
    </row>
    <row r="29" spans="2:7" ht="21">
      <c r="B29" s="12" t="s">
        <v>99</v>
      </c>
      <c r="G29" s="12" t="s">
        <v>203</v>
      </c>
    </row>
    <row r="30" ht="21">
      <c r="B30" s="12" t="s">
        <v>129</v>
      </c>
    </row>
    <row r="31" ht="21">
      <c r="B31" s="12" t="s">
        <v>122</v>
      </c>
    </row>
    <row r="32" ht="21">
      <c r="B32" s="12" t="s">
        <v>142</v>
      </c>
    </row>
    <row r="33" ht="21">
      <c r="B33" s="12" t="s">
        <v>197</v>
      </c>
    </row>
    <row r="34" ht="21">
      <c r="B34" s="19" t="s">
        <v>211</v>
      </c>
    </row>
    <row r="35" ht="21">
      <c r="B35" s="19" t="s">
        <v>226</v>
      </c>
    </row>
    <row r="36" ht="21">
      <c r="B36" s="19" t="s">
        <v>227</v>
      </c>
    </row>
    <row r="37" ht="21">
      <c r="B37" s="12" t="s">
        <v>123</v>
      </c>
    </row>
    <row r="38" ht="21">
      <c r="B38" s="12" t="s">
        <v>57</v>
      </c>
    </row>
    <row r="39" ht="21">
      <c r="B39" s="13" t="s">
        <v>55</v>
      </c>
    </row>
    <row r="40" ht="21">
      <c r="B40" s="13" t="s">
        <v>56</v>
      </c>
    </row>
    <row r="41" spans="2:3" ht="21.75" thickBot="1">
      <c r="B41" s="103" t="s">
        <v>31</v>
      </c>
      <c r="C41" s="104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64"/>
      <c r="N24" s="64"/>
    </row>
    <row r="25" spans="1:12" ht="21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21.75">
      <c r="A26" s="1"/>
      <c r="D26" s="64"/>
      <c r="F26" s="64"/>
      <c r="J26" s="64"/>
      <c r="L26" s="64"/>
    </row>
    <row r="27" spans="6:10" ht="21.75">
      <c r="F27" s="1"/>
      <c r="J27" s="1"/>
    </row>
    <row r="28" spans="6:10" ht="21.75">
      <c r="F28" s="64">
        <f>+F27-F26</f>
        <v>0</v>
      </c>
      <c r="J28" s="110">
        <f>+J27-J26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2017-05-05T09:16:49Z</cp:lastPrinted>
  <dcterms:created xsi:type="dcterms:W3CDTF">2004-10-29T06:51:22Z</dcterms:created>
  <dcterms:modified xsi:type="dcterms:W3CDTF">2017-05-05T09:33:18Z</dcterms:modified>
  <cp:category/>
  <cp:version/>
  <cp:contentType/>
  <cp:contentStatus/>
</cp:coreProperties>
</file>