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'กระแสเงินสด'!$A$1:$M$75</definedName>
    <definedName name="_xlnm.Print_Area" localSheetId="2">'งบทดลอง'!$A$1:$K$85</definedName>
    <definedName name="_xlnm.Print_Area" localSheetId="5">'รับจ่ายใหม่'!$A$1:$S$99</definedName>
    <definedName name="_xlnm.Print_Area" localSheetId="3">'หมายเหตุ'!$A$1:$R$48</definedName>
    <definedName name="_xlnm.Print_Area" localSheetId="4">'หมายเหตุยกมา'!$A$1:$I$72</definedName>
  </definedNames>
  <calcPr fullCalcOnLoad="1"/>
</workbook>
</file>

<file path=xl/sharedStrings.xml><?xml version="1.0" encoding="utf-8"?>
<sst xmlns="http://schemas.openxmlformats.org/spreadsheetml/2006/main" count="613" uniqueCount="340">
  <si>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</si>
  <si>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</si>
  <si>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</si>
  <si>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</si>
  <si>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</si>
  <si>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</si>
  <si>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</si>
  <si>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</si>
  <si>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</si>
  <si>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</si>
  <si>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</si>
  <si>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</si>
  <si>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</si>
  <si>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</si>
  <si>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</si>
  <si>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</si>
  <si>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</si>
  <si>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</si>
  <si>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</si>
  <si>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</si>
  <si>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</si>
  <si>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</si>
  <si>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</si>
  <si>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</si>
  <si>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</si>
  <si>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</si>
  <si>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</si>
  <si>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</si>
  <si>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</si>
  <si>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</si>
  <si>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</si>
  <si>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</si>
  <si>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</si>
  <si>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</si>
  <si>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</si>
  <si>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</si>
  <si>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</si>
  <si>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</si>
  <si>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</si>
  <si>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</si>
  <si>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</si>
  <si>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</si>
  <si>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</si>
  <si>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</si>
  <si>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</si>
  <si>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</si>
  <si>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</si>
  <si>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</si>
  <si>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</si>
  <si>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</si>
  <si>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</si>
  <si>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</si>
  <si>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</si>
  <si>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</si>
  <si>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</si>
  <si>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</si>
  <si>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</si>
  <si>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</si>
  <si>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</si>
  <si>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</si>
  <si>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</si>
  <si>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</si>
  <si>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</si>
  <si>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</si>
  <si>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</si>
  <si>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</si>
  <si>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</si>
  <si>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</si>
  <si>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</si>
  <si>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</si>
  <si>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</si>
  <si>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</si>
  <si>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</si>
  <si>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</si>
  <si>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</si>
  <si>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</si>
  <si>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</si>
  <si>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</si>
  <si>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</si>
  <si>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</si>
  <si>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</si>
  <si>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</si>
  <si>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</si>
  <si>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</si>
  <si>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</si>
  <si>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</si>
  <si>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</si>
  <si>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</si>
  <si>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</si>
  <si>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</si>
  <si>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</si>
  <si>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</si>
  <si>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</si>
  <si>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</si>
  <si>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</si>
  <si>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</si>
  <si>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</si>
  <si>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</si>
  <si>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</si>
  <si>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</si>
  <si>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</si>
  <si>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</si>
  <si>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</si>
  <si>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</si>
  <si>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</si>
  <si>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</si>
  <si>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</si>
  <si>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</si>
  <si>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</si>
  <si>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</si>
  <si>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</si>
  <si>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</si>
  <si>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</si>
  <si>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</si>
  <si>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</si>
  <si>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</si>
  <si>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</si>
  <si>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</si>
  <si>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</si>
  <si>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</si>
  <si>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</si>
  <si>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</si>
  <si>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</si>
  <si>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</si>
  <si>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</si>
  <si>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</si>
  <si>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</si>
  <si>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</si>
  <si>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</si>
  <si>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</si>
  <si>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</si>
  <si>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</si>
  <si>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</si>
  <si>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</si>
  <si>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</si>
  <si>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</si>
  <si>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</si>
  <si>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</si>
  <si>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</si>
  <si>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</si>
  <si>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</si>
  <si>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</si>
  <si>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</si>
  <si>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</si>
  <si>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</si>
  <si>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</si>
  <si>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</si>
  <si>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</si>
  <si>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</si>
  <si>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</si>
  <si>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</si>
  <si>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</si>
  <si>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</si>
  <si>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</si>
  <si>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</si>
  <si>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</si>
  <si>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</si>
  <si>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</si>
  <si>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</si>
  <si>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</si>
  <si>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</si>
  <si>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</si>
  <si>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</si>
  <si>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</si>
  <si>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</si>
  <si>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</si>
  <si>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</si>
  <si>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</si>
  <si>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</si>
  <si>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</si>
  <si>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</si>
  <si>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214000</t>
  </si>
  <si>
    <t>ฎีกาค้างจ่าย (รายจ่ายรอจ่าย)</t>
  </si>
  <si>
    <t>213000</t>
  </si>
  <si>
    <t>190002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</si>
  <si>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</si>
  <si>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</si>
  <si>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</si>
  <si>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</si>
  <si>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</si>
  <si>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</si>
  <si>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</si>
  <si>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</si>
  <si>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</si>
  <si>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</si>
  <si>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</si>
  <si>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</si>
  <si>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</si>
  <si>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</si>
  <si>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</si>
  <si>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</si>
  <si>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</si>
  <si>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</si>
  <si>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</si>
  <si>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</si>
  <si>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</si>
  <si>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</si>
  <si>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</si>
  <si>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</si>
  <si>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</si>
  <si>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</si>
  <si>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</si>
  <si>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</si>
  <si>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</si>
  <si>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</si>
  <si>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</si>
  <si>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</si>
  <si>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</si>
  <si>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</si>
  <si>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</si>
  <si>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</si>
  <si>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</si>
  <si>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</si>
  <si>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</si>
  <si>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</si>
  <si>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</si>
  <si>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</si>
  <si>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</si>
  <si>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</si>
  <si>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</si>
  <si>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</si>
  <si>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</si>
  <si>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</si>
  <si>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</si>
  <si>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</si>
  <si>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</si>
  <si>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</si>
  <si>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</si>
  <si>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</si>
  <si>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</si>
  <si>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</si>
  <si>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</si>
  <si>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</si>
  <si>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</si>
  <si>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</si>
  <si>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</si>
  <si>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</si>
  <si>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</si>
  <si>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</si>
  <si>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</si>
  <si>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</si>
  <si>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</si>
  <si>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</si>
  <si>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</si>
  <si>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</si>
  <si>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</si>
  <si>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</si>
  <si>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</si>
  <si>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</si>
  <si>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</si>
  <si>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</si>
  <si>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</si>
  <si>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</si>
  <si>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</si>
  <si>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</si>
  <si>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</si>
  <si>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</si>
  <si>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</si>
  <si>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</si>
  <si>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</si>
  <si>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</si>
  <si>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</si>
  <si>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</si>
  <si>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</si>
  <si>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</si>
  <si>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</si>
  <si>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</si>
  <si>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</si>
  <si>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</si>
  <si>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</si>
  <si>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</si>
  <si>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</si>
  <si>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</si>
  <si>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</si>
  <si>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</si>
  <si>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</si>
  <si>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</si>
  <si>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</si>
  <si>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</si>
  <si>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</si>
  <si>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</si>
  <si>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</si>
  <si>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</si>
  <si>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</si>
  <si>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</si>
  <si>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</si>
  <si>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</si>
  <si>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</si>
  <si>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</si>
  <si>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</si>
  <si>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</si>
  <si>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</si>
  <si>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</si>
  <si>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</si>
  <si>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</si>
  <si>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</si>
  <si>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</si>
  <si>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</si>
  <si>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</si>
  <si>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</si>
  <si>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</si>
  <si>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</si>
  <si>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</si>
  <si>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5420000</t>
  </si>
  <si>
    <t>5610000</t>
  </si>
  <si>
    <t>5510000</t>
  </si>
  <si>
    <t>22011001</t>
  </si>
  <si>
    <t>22011002</t>
  </si>
  <si>
    <t>11032000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</si>
  <si>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</si>
  <si>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</si>
  <si>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</si>
  <si>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</si>
  <si>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</si>
  <si>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</si>
  <si>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</si>
  <si>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</si>
  <si>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</si>
  <si>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</si>
  <si>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เงินรับฝาก-ค่าตอนแทน/ค่าครองชีพกรณีขาดราชการ</t>
  </si>
  <si>
    <t>21040000</t>
  </si>
  <si>
    <t>21030000</t>
  </si>
  <si>
    <t>54100000</t>
  </si>
  <si>
    <t>21010000</t>
  </si>
  <si>
    <t>21020000</t>
  </si>
  <si>
    <t>12010010</t>
  </si>
  <si>
    <t>12010000</t>
  </si>
  <si>
    <t>54200000</t>
  </si>
  <si>
    <t>56100000</t>
  </si>
  <si>
    <t>11061100</t>
  </si>
  <si>
    <t>210300000</t>
  </si>
  <si>
    <t>40000000</t>
  </si>
  <si>
    <t>24010000</t>
  </si>
  <si>
    <t>44100000</t>
  </si>
  <si>
    <t>หมวดเงินอุดหนุนทั่วไปกำหนดวัตถุประสงค์</t>
  </si>
  <si>
    <t>1  ตุลาคม  2559 -   31  พฤษภาคม  2560</t>
  </si>
  <si>
    <t xml:space="preserve">ณ   วันที่ 31  พฤษภาคม  พ.ศ. 2560 </t>
  </si>
  <si>
    <t>1  พฤษภาคม  - 31  พฤษภาคม  2560</t>
  </si>
  <si>
    <t>ปีงบประมาณ   2560     ประจำเดือน พฤษภาคม   2560</t>
  </si>
  <si>
    <t>เพียงวันที่   31  พฤษภาคม   2560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</si>
</sst>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3" xfId="38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/>
    </xf>
    <xf numFmtId="43" fontId="1" fillId="0" borderId="21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43" fontId="5" fillId="0" borderId="22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50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4" xfId="38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29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9" xfId="38" applyFont="1" applyBorder="1" applyAlignment="1">
      <alignment/>
    </xf>
    <xf numFmtId="43" fontId="7" fillId="0" borderId="24" xfId="0" applyNumberFormat="1" applyFont="1" applyBorder="1" applyAlignment="1">
      <alignment/>
    </xf>
    <xf numFmtId="43" fontId="7" fillId="0" borderId="30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0" xfId="38" applyFont="1" applyBorder="1" applyAlignment="1">
      <alignment/>
    </xf>
    <xf numFmtId="43" fontId="7" fillId="0" borderId="36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10" xfId="38" applyNumberFormat="1" applyFont="1" applyBorder="1" applyAlignment="1">
      <alignment/>
    </xf>
    <xf numFmtId="204" fontId="7" fillId="0" borderId="10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38" xfId="0" applyFont="1" applyFill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3" fontId="7" fillId="0" borderId="10" xfId="38" applyFont="1" applyBorder="1" applyAlignment="1">
      <alignment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43" fontId="7" fillId="0" borderId="41" xfId="38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1" xfId="38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43" fontId="4" fillId="0" borderId="11" xfId="38" applyFont="1" applyBorder="1" applyAlignment="1">
      <alignment/>
    </xf>
    <xf numFmtId="43" fontId="5" fillId="0" borderId="11" xfId="38" applyFont="1" applyFill="1" applyBorder="1" applyAlignment="1">
      <alignment horizontal="left" vertical="center"/>
    </xf>
    <xf numFmtId="43" fontId="4" fillId="0" borderId="4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3" fontId="4" fillId="0" borderId="42" xfId="38" applyFont="1" applyBorder="1" applyAlignment="1">
      <alignment vertical="center"/>
    </xf>
    <xf numFmtId="43" fontId="5" fillId="0" borderId="10" xfId="38" applyFont="1" applyBorder="1" applyAlignment="1">
      <alignment vertical="top"/>
    </xf>
    <xf numFmtId="43" fontId="5" fillId="0" borderId="52" xfId="38" applyFont="1" applyBorder="1" applyAlignment="1">
      <alignment vertical="top"/>
    </xf>
    <xf numFmtId="0" fontId="10" fillId="0" borderId="2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3" fontId="7" fillId="0" borderId="34" xfId="38" applyFont="1" applyBorder="1" applyAlignment="1">
      <alignment/>
    </xf>
    <xf numFmtId="0" fontId="14" fillId="0" borderId="10" xfId="0" applyFont="1" applyBorder="1" applyAlignment="1">
      <alignment vertical="top"/>
    </xf>
    <xf numFmtId="43" fontId="5" fillId="0" borderId="10" xfId="38" applyFont="1" applyBorder="1" applyAlignment="1">
      <alignment vertic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112" zoomScaleSheetLayoutView="112" zoomScalePageLayoutView="0" workbookViewId="0" topLeftCell="A56">
      <selection activeCell="C67" sqref="C67"/>
    </sheetView>
  </sheetViews>
  <sheetFormatPr defaultColWidth="9.140625" defaultRowHeight="22.5" customHeight="1"/>
  <cols>
    <col min="1" max="1" width="2.7109375" style="21" customWidth="1"/>
    <col min="2" max="2" width="53.57421875" style="21" customWidth="1"/>
    <col min="3" max="3" width="18.00390625" style="21" customWidth="1"/>
    <col min="4" max="4" width="4.00390625" style="21" customWidth="1"/>
    <col min="5" max="5" width="18.421875" style="21" customWidth="1"/>
    <col min="6" max="6" width="9.140625" style="21" customWidth="1"/>
    <col min="7" max="7" width="16.421875" style="27" bestFit="1" customWidth="1"/>
    <col min="8" max="8" width="15.57421875" style="21" bestFit="1" customWidth="1"/>
    <col min="9" max="9" width="16.421875" style="27" bestFit="1" customWidth="1"/>
    <col min="10" max="16384" width="9.140625" style="21" customWidth="1"/>
  </cols>
  <sheetData>
    <row r="1" spans="2:5" ht="22.5" customHeight="1">
      <c r="B1" s="173" t="s">
        <v>180</v>
      </c>
      <c r="C1" s="173"/>
      <c r="D1" s="173"/>
      <c r="E1" s="173"/>
    </row>
    <row r="2" spans="2:5" ht="22.5" customHeight="1">
      <c r="B2" s="173" t="s">
        <v>32</v>
      </c>
      <c r="C2" s="173"/>
      <c r="D2" s="173"/>
      <c r="E2" s="173"/>
    </row>
    <row r="3" spans="2:5" ht="22.5" customHeight="1">
      <c r="B3" s="173" t="s">
        <v>339</v>
      </c>
      <c r="C3" s="173"/>
      <c r="D3" s="173"/>
      <c r="E3" s="173"/>
    </row>
    <row r="4" spans="1:5" ht="22.5" customHeight="1">
      <c r="A4" s="25" t="s">
        <v>33</v>
      </c>
      <c r="C4" s="26" t="s">
        <v>7</v>
      </c>
      <c r="E4" s="26" t="s">
        <v>34</v>
      </c>
    </row>
    <row r="5" spans="2:7" ht="22.5" customHeight="1">
      <c r="B5" s="21" t="s">
        <v>35</v>
      </c>
      <c r="C5" s="27">
        <v>17019889.2</v>
      </c>
      <c r="E5" s="27">
        <f>35828321.46+10874366.55+13355927.11+35796224.89+17168991.2+13860500.93+20027592.01+17019889.2</f>
        <v>163931813.35</v>
      </c>
      <c r="G5" s="27" t="s">
        <v>213</v>
      </c>
    </row>
    <row r="6" spans="2:9" ht="22.5" customHeight="1">
      <c r="B6" s="21" t="s">
        <v>36</v>
      </c>
      <c r="C6" s="27">
        <f>+หมายเหตุ!C32</f>
        <v>1094768.87</v>
      </c>
      <c r="E6" s="27">
        <f>940485.79+3796141.53+857340.71+800+3163896.24+2569460.71+1776493.05+915033.54+1094768.87</f>
        <v>15114420.440000001</v>
      </c>
      <c r="G6" s="65" t="s">
        <v>214</v>
      </c>
      <c r="I6" s="65" t="s">
        <v>203</v>
      </c>
    </row>
    <row r="7" spans="2:7" ht="22.5" customHeight="1">
      <c r="B7" s="21" t="s">
        <v>93</v>
      </c>
      <c r="C7" s="27">
        <v>929420</v>
      </c>
      <c r="E7" s="27">
        <f>95600+1678594+1623220+1732600+1659380+1634033.12+1304381+929420</f>
        <v>10657228.120000001</v>
      </c>
      <c r="G7" s="27" t="s">
        <v>219</v>
      </c>
    </row>
    <row r="8" spans="2:9" ht="22.5" customHeight="1">
      <c r="B8" s="21" t="s">
        <v>94</v>
      </c>
      <c r="C8" s="27">
        <v>0</v>
      </c>
      <c r="E8" s="27">
        <f aca="true" t="shared" si="0" ref="E8:E16">+C8</f>
        <v>0</v>
      </c>
      <c r="G8" s="27" t="s">
        <v>219</v>
      </c>
      <c r="I8" s="27">
        <v>0</v>
      </c>
    </row>
    <row r="9" spans="2:5" ht="22.5" customHeight="1">
      <c r="B9" s="21" t="s">
        <v>272</v>
      </c>
      <c r="C9" s="27">
        <v>27000</v>
      </c>
      <c r="E9" s="27">
        <f>32700+13700+12857+1000+1000+1000+27000</f>
        <v>89257</v>
      </c>
    </row>
    <row r="10" spans="2:5" ht="22.5" customHeight="1">
      <c r="B10" s="21" t="s">
        <v>145</v>
      </c>
      <c r="C10" s="27">
        <v>0</v>
      </c>
      <c r="E10" s="27">
        <f>30400</f>
        <v>30400</v>
      </c>
    </row>
    <row r="11" spans="2:9" ht="22.5" customHeight="1">
      <c r="B11" s="21" t="s">
        <v>70</v>
      </c>
      <c r="C11" s="27">
        <v>0</v>
      </c>
      <c r="E11" s="27">
        <f t="shared" si="0"/>
        <v>0</v>
      </c>
      <c r="I11" s="27" t="s">
        <v>203</v>
      </c>
    </row>
    <row r="12" spans="2:5" ht="22.5" customHeight="1">
      <c r="B12" s="21" t="s">
        <v>116</v>
      </c>
      <c r="C12" s="27">
        <v>0</v>
      </c>
      <c r="E12" s="27">
        <f t="shared" si="0"/>
        <v>0</v>
      </c>
    </row>
    <row r="13" spans="2:5" ht="22.5" customHeight="1">
      <c r="B13" s="21" t="s">
        <v>225</v>
      </c>
      <c r="C13" s="27">
        <v>0</v>
      </c>
      <c r="E13" s="27">
        <f t="shared" si="0"/>
        <v>0</v>
      </c>
    </row>
    <row r="14" spans="2:7" ht="22.5" customHeight="1">
      <c r="B14" s="21" t="s">
        <v>181</v>
      </c>
      <c r="C14" s="27">
        <v>0</v>
      </c>
      <c r="E14" s="27">
        <f t="shared" si="0"/>
        <v>0</v>
      </c>
      <c r="G14" s="27" t="s">
        <v>232</v>
      </c>
    </row>
    <row r="15" spans="2:5" ht="19.5" customHeight="1" hidden="1">
      <c r="B15" s="32" t="s">
        <v>192</v>
      </c>
      <c r="C15" s="27"/>
      <c r="E15" s="27">
        <f t="shared" si="0"/>
        <v>0</v>
      </c>
    </row>
    <row r="16" spans="2:5" ht="22.5" customHeight="1" hidden="1">
      <c r="B16" s="21" t="s">
        <v>117</v>
      </c>
      <c r="C16" s="27"/>
      <c r="E16" s="27">
        <f t="shared" si="0"/>
        <v>0</v>
      </c>
    </row>
    <row r="17" spans="2:5" ht="22.5" customHeight="1">
      <c r="B17" s="21" t="s">
        <v>61</v>
      </c>
      <c r="C17" s="27">
        <v>0</v>
      </c>
      <c r="E17" s="27">
        <f>68202.38+20850+6500+15200</f>
        <v>110752.38</v>
      </c>
    </row>
    <row r="18" spans="2:5" ht="22.5" customHeight="1" hidden="1">
      <c r="B18" s="21" t="s">
        <v>124</v>
      </c>
      <c r="C18" s="27"/>
      <c r="E18" s="27"/>
    </row>
    <row r="19" spans="2:5" ht="22.5" customHeight="1" hidden="1">
      <c r="B19" s="21" t="s">
        <v>77</v>
      </c>
      <c r="C19" s="27"/>
      <c r="E19" s="27"/>
    </row>
    <row r="20" spans="2:5" ht="22.5" customHeight="1" hidden="1">
      <c r="B20" s="21" t="s">
        <v>21</v>
      </c>
      <c r="C20" s="27"/>
      <c r="E20" s="27"/>
    </row>
    <row r="21" spans="2:5" ht="22.5" customHeight="1" hidden="1">
      <c r="B21" s="21" t="s">
        <v>30</v>
      </c>
      <c r="C21" s="27"/>
      <c r="E21" s="27"/>
    </row>
    <row r="22" spans="2:8" ht="22.5" customHeight="1">
      <c r="B22" s="21" t="s">
        <v>103</v>
      </c>
      <c r="C22" s="27">
        <v>2500</v>
      </c>
      <c r="E22" s="27">
        <f>63300+1500+700+700+600+2500</f>
        <v>69300</v>
      </c>
      <c r="G22" s="89" t="s">
        <v>230</v>
      </c>
      <c r="H22" s="27">
        <v>18338664.49</v>
      </c>
    </row>
    <row r="23" spans="2:8" ht="22.5" customHeight="1">
      <c r="B23" s="21" t="s">
        <v>200</v>
      </c>
      <c r="C23" s="27">
        <v>13090.31</v>
      </c>
      <c r="E23" s="27">
        <f>19956.18+21071.43+90636.88+13090.31</f>
        <v>144754.8</v>
      </c>
      <c r="G23" s="89" t="s">
        <v>231</v>
      </c>
      <c r="H23" s="27">
        <v>461509</v>
      </c>
    </row>
    <row r="24" spans="2:8" ht="22.5" customHeight="1">
      <c r="B24" s="21" t="s">
        <v>275</v>
      </c>
      <c r="C24" s="27">
        <v>0</v>
      </c>
      <c r="E24" s="27">
        <f aca="true" t="shared" si="1" ref="E24:E32">+C24</f>
        <v>0</v>
      </c>
      <c r="G24" s="89" t="s">
        <v>234</v>
      </c>
      <c r="H24" s="27">
        <v>879265.19</v>
      </c>
    </row>
    <row r="25" spans="2:5" ht="22.5" customHeight="1" hidden="1">
      <c r="B25" s="21" t="s">
        <v>102</v>
      </c>
      <c r="C25" s="27"/>
      <c r="E25" s="27">
        <f t="shared" si="1"/>
        <v>0</v>
      </c>
    </row>
    <row r="26" spans="2:5" ht="22.5" customHeight="1" hidden="1">
      <c r="B26" s="21" t="s">
        <v>97</v>
      </c>
      <c r="C26" s="27"/>
      <c r="E26" s="27">
        <f t="shared" si="1"/>
        <v>0</v>
      </c>
    </row>
    <row r="27" spans="2:8" ht="22.5" customHeight="1">
      <c r="B27" s="21" t="s">
        <v>98</v>
      </c>
      <c r="C27" s="27">
        <v>0</v>
      </c>
      <c r="E27" s="27">
        <f t="shared" si="1"/>
        <v>0</v>
      </c>
      <c r="H27" s="88">
        <f>SUM(H22:H26)</f>
        <v>19679438.68</v>
      </c>
    </row>
    <row r="28" spans="2:5" ht="22.5" customHeight="1">
      <c r="B28" s="21" t="s">
        <v>100</v>
      </c>
      <c r="C28" s="27">
        <v>3</v>
      </c>
      <c r="E28" s="27">
        <f>20+256+170+3</f>
        <v>449</v>
      </c>
    </row>
    <row r="29" spans="2:5" ht="22.5" customHeight="1" hidden="1">
      <c r="B29" s="21" t="s">
        <v>126</v>
      </c>
      <c r="C29" s="27"/>
      <c r="E29" s="27">
        <f t="shared" si="1"/>
        <v>0</v>
      </c>
    </row>
    <row r="30" spans="2:5" ht="22.5" customHeight="1" hidden="1">
      <c r="B30" s="21" t="s">
        <v>95</v>
      </c>
      <c r="C30" s="27"/>
      <c r="E30" s="27">
        <f t="shared" si="1"/>
        <v>0</v>
      </c>
    </row>
    <row r="31" spans="2:9" ht="22.5" customHeight="1">
      <c r="B31" s="21" t="s">
        <v>218</v>
      </c>
      <c r="C31" s="27">
        <v>0</v>
      </c>
      <c r="E31" s="27">
        <f>10680+11905</f>
        <v>22585</v>
      </c>
      <c r="G31" s="27" t="s">
        <v>203</v>
      </c>
      <c r="I31" s="27">
        <f>+H27-C33</f>
        <v>592767.3000000007</v>
      </c>
    </row>
    <row r="32" spans="2:5" ht="22.5" customHeight="1">
      <c r="B32" s="21" t="s">
        <v>126</v>
      </c>
      <c r="C32" s="27">
        <v>0</v>
      </c>
      <c r="E32" s="27">
        <f t="shared" si="1"/>
        <v>0</v>
      </c>
    </row>
    <row r="33" spans="2:7" ht="22.5" customHeight="1" thickBot="1">
      <c r="B33" s="28" t="s">
        <v>31</v>
      </c>
      <c r="C33" s="29">
        <f>SUM(C5:C32)</f>
        <v>19086671.38</v>
      </c>
      <c r="D33" s="30"/>
      <c r="E33" s="29">
        <f>SUM(E5:E32)</f>
        <v>190170960.09</v>
      </c>
      <c r="G33" s="27" t="s">
        <v>233</v>
      </c>
    </row>
    <row r="34" spans="2:5" ht="22.5" customHeight="1" thickTop="1">
      <c r="B34" s="28"/>
      <c r="C34" s="72"/>
      <c r="D34" s="30"/>
      <c r="E34" s="72"/>
    </row>
    <row r="35" spans="2:5" ht="22.5" customHeight="1">
      <c r="B35" s="28"/>
      <c r="C35" s="72"/>
      <c r="D35" s="30"/>
      <c r="E35" s="72"/>
    </row>
    <row r="36" spans="2:5" ht="22.5" customHeight="1">
      <c r="B36" s="28" t="s">
        <v>203</v>
      </c>
      <c r="C36" s="72"/>
      <c r="D36" s="30"/>
      <c r="E36" s="72"/>
    </row>
    <row r="37" spans="2:5" ht="22.5" customHeight="1">
      <c r="B37" s="28"/>
      <c r="C37" s="72"/>
      <c r="D37" s="30"/>
      <c r="E37" s="72"/>
    </row>
    <row r="38" spans="2:5" ht="22.5" customHeight="1">
      <c r="B38" s="28"/>
      <c r="C38" s="72"/>
      <c r="D38" s="30"/>
      <c r="E38" s="72"/>
    </row>
    <row r="39" spans="2:5" ht="22.5" customHeight="1">
      <c r="B39" s="28"/>
      <c r="C39" s="72"/>
      <c r="D39" s="30"/>
      <c r="E39" s="72"/>
    </row>
    <row r="40" spans="2:5" ht="22.5" customHeight="1">
      <c r="B40" s="28"/>
      <c r="C40" s="72"/>
      <c r="D40" s="30"/>
      <c r="E40" s="72"/>
    </row>
    <row r="41" spans="2:5" ht="22.5" customHeight="1">
      <c r="B41" s="28"/>
      <c r="C41" s="72"/>
      <c r="D41" s="30"/>
      <c r="E41" s="72"/>
    </row>
    <row r="42" spans="2:5" ht="22.5" customHeight="1">
      <c r="B42" s="28"/>
      <c r="C42" s="72"/>
      <c r="D42" s="30"/>
      <c r="E42" s="72"/>
    </row>
    <row r="43" spans="2:5" ht="22.5" customHeight="1">
      <c r="B43" s="28"/>
      <c r="C43" s="72"/>
      <c r="D43" s="30"/>
      <c r="E43" s="72"/>
    </row>
    <row r="44" spans="2:5" ht="22.5" customHeight="1">
      <c r="B44" s="28" t="s">
        <v>260</v>
      </c>
      <c r="C44" s="72"/>
      <c r="D44" s="30"/>
      <c r="E44" s="72"/>
    </row>
    <row r="45" spans="1:5" ht="22.5" customHeight="1">
      <c r="A45" s="25" t="s">
        <v>13</v>
      </c>
      <c r="B45" s="30"/>
      <c r="C45" s="26" t="s">
        <v>7</v>
      </c>
      <c r="E45" s="26" t="s">
        <v>34</v>
      </c>
    </row>
    <row r="46" spans="2:7" ht="22.5" customHeight="1">
      <c r="B46" s="21" t="s">
        <v>71</v>
      </c>
      <c r="C46" s="27">
        <v>27488075.08</v>
      </c>
      <c r="E46" s="27">
        <f>8548195.88+15300+14552326.94+10190501.79+14677263.25+15479862.47+15814313.76+15766986.51+26607235.08+880840</f>
        <v>122532825.68</v>
      </c>
      <c r="G46" s="27" t="s">
        <v>223</v>
      </c>
    </row>
    <row r="47" spans="2:5" ht="22.5" customHeight="1" hidden="1">
      <c r="B47" s="21" t="s">
        <v>107</v>
      </c>
      <c r="C47" s="27"/>
      <c r="E47" s="27">
        <f aca="true" t="shared" si="2" ref="E47:E61">+C47</f>
        <v>0</v>
      </c>
    </row>
    <row r="48" spans="2:5" ht="22.5" customHeight="1" hidden="1">
      <c r="B48" s="21" t="s">
        <v>160</v>
      </c>
      <c r="C48" s="27"/>
      <c r="E48" s="27">
        <f t="shared" si="2"/>
        <v>0</v>
      </c>
    </row>
    <row r="49" spans="2:5" ht="22.5" customHeight="1" hidden="1">
      <c r="B49" s="21" t="s">
        <v>118</v>
      </c>
      <c r="C49" s="27"/>
      <c r="E49" s="27">
        <f t="shared" si="2"/>
        <v>0</v>
      </c>
    </row>
    <row r="50" spans="2:7" ht="22.5" customHeight="1">
      <c r="B50" s="21" t="s">
        <v>72</v>
      </c>
      <c r="C50" s="27">
        <f>+หมายเหตุ!D32</f>
        <v>1090660.05</v>
      </c>
      <c r="E50" s="27">
        <f>715046.52+1028367.48+3345496.48+1612704.96+1449421.98+3391495.96+1771533+1090660.05</f>
        <v>14404726.43</v>
      </c>
      <c r="G50" s="27" t="s">
        <v>216</v>
      </c>
    </row>
    <row r="51" spans="2:7" ht="22.5" customHeight="1">
      <c r="B51" s="62" t="s">
        <v>73</v>
      </c>
      <c r="C51" s="27">
        <v>0</v>
      </c>
      <c r="E51" s="27">
        <v>0</v>
      </c>
      <c r="G51" s="27" t="s">
        <v>215</v>
      </c>
    </row>
    <row r="52" spans="2:5" ht="22.5" customHeight="1">
      <c r="B52" s="62" t="s">
        <v>229</v>
      </c>
      <c r="C52" s="27">
        <v>0</v>
      </c>
      <c r="E52" s="27">
        <f t="shared" si="2"/>
        <v>0</v>
      </c>
    </row>
    <row r="53" spans="2:7" ht="22.5" customHeight="1">
      <c r="B53" s="21" t="s">
        <v>74</v>
      </c>
      <c r="C53" s="27">
        <v>747886</v>
      </c>
      <c r="E53" s="27">
        <f>45944+3252420+189150+1689150+1767054+1566640.12+1431770+747886</f>
        <v>10690014.120000001</v>
      </c>
      <c r="G53" s="27" t="s">
        <v>215</v>
      </c>
    </row>
    <row r="54" spans="2:7" ht="22.5" customHeight="1">
      <c r="B54" s="21" t="s">
        <v>75</v>
      </c>
      <c r="C54" s="27">
        <v>0</v>
      </c>
      <c r="E54" s="27">
        <f t="shared" si="2"/>
        <v>0</v>
      </c>
      <c r="G54" s="27" t="s">
        <v>215</v>
      </c>
    </row>
    <row r="55" spans="2:5" ht="22.5" customHeight="1">
      <c r="B55" s="21" t="s">
        <v>273</v>
      </c>
      <c r="C55" s="27">
        <v>6800</v>
      </c>
      <c r="E55" s="27">
        <f>23600+6800+6800</f>
        <v>37200</v>
      </c>
    </row>
    <row r="56" spans="2:7" ht="22.5" customHeight="1">
      <c r="B56" s="21" t="s">
        <v>90</v>
      </c>
      <c r="C56" s="27">
        <v>0</v>
      </c>
      <c r="E56" s="27">
        <v>237847.96</v>
      </c>
      <c r="G56" s="27" t="s">
        <v>215</v>
      </c>
    </row>
    <row r="57" spans="2:7" ht="22.5" customHeight="1">
      <c r="B57" s="21" t="s">
        <v>77</v>
      </c>
      <c r="C57" s="27">
        <v>0</v>
      </c>
      <c r="E57" s="27">
        <v>78200</v>
      </c>
      <c r="G57" s="27" t="s">
        <v>215</v>
      </c>
    </row>
    <row r="58" spans="2:7" ht="22.5" customHeight="1">
      <c r="B58" s="21" t="s">
        <v>21</v>
      </c>
      <c r="C58" s="27">
        <v>0</v>
      </c>
      <c r="E58" s="27">
        <f>34000+132800+400786.5+4780000</f>
        <v>5347586.5</v>
      </c>
      <c r="G58" s="27" t="s">
        <v>215</v>
      </c>
    </row>
    <row r="59" spans="2:7" ht="22.5" customHeight="1">
      <c r="B59" s="21" t="s">
        <v>30</v>
      </c>
      <c r="C59" s="27">
        <v>0</v>
      </c>
      <c r="E59" s="27">
        <f t="shared" si="2"/>
        <v>0</v>
      </c>
      <c r="G59" s="27" t="s">
        <v>215</v>
      </c>
    </row>
    <row r="60" spans="2:5" ht="22.5" customHeight="1" hidden="1">
      <c r="B60" s="21" t="s">
        <v>76</v>
      </c>
      <c r="C60" s="27"/>
      <c r="E60" s="27">
        <f t="shared" si="2"/>
        <v>0</v>
      </c>
    </row>
    <row r="61" spans="2:5" ht="22.5" customHeight="1">
      <c r="B61" s="21" t="s">
        <v>96</v>
      </c>
      <c r="C61" s="27">
        <v>0</v>
      </c>
      <c r="E61" s="27">
        <f t="shared" si="2"/>
        <v>0</v>
      </c>
    </row>
    <row r="62" spans="2:7" ht="22.5" customHeight="1" thickBot="1">
      <c r="B62" s="28" t="s">
        <v>31</v>
      </c>
      <c r="C62" s="29">
        <f>SUM(C46:C61)</f>
        <v>29333421.13</v>
      </c>
      <c r="D62" s="30"/>
      <c r="E62" s="29">
        <f>SUM(E46:E61)</f>
        <v>153328400.69000003</v>
      </c>
      <c r="G62" s="27">
        <v>0</v>
      </c>
    </row>
    <row r="63" spans="2:7" ht="22.5" customHeight="1" thickBot="1" thickTop="1">
      <c r="B63" s="30" t="s">
        <v>38</v>
      </c>
      <c r="C63" s="31">
        <f>C33-C62</f>
        <v>-10246749.75</v>
      </c>
      <c r="D63" s="30"/>
      <c r="E63" s="31">
        <f>E33-E62</f>
        <v>36842559.399999976</v>
      </c>
      <c r="G63" s="27" t="s">
        <v>203</v>
      </c>
    </row>
    <row r="64" ht="22.5" customHeight="1" thickTop="1">
      <c r="B64" s="21" t="s">
        <v>203</v>
      </c>
    </row>
    <row r="67" spans="7:8" ht="22.5" customHeight="1">
      <c r="G67" s="27">
        <v>19227962.38</v>
      </c>
      <c r="H67" s="88">
        <f>+G67-C62</f>
        <v>-10105458.75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22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81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82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83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84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85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203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91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64"/>
      <c r="L7" s="64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37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217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86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87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88</v>
      </c>
      <c r="G11" s="59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89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169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67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125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143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130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152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131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184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185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186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187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188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189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228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193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132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133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134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155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135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190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136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156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137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138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157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146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151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153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195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139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140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141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191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196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198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199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105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58">
        <f t="shared" si="0"/>
        <v>0</v>
      </c>
      <c r="F53" s="57" t="s">
        <v>77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58">
        <f t="shared" si="0"/>
        <v>0</v>
      </c>
      <c r="F54" s="57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58">
        <f t="shared" si="0"/>
        <v>0</v>
      </c>
      <c r="F55" s="57" t="s">
        <v>172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58">
        <f t="shared" si="0"/>
        <v>0</v>
      </c>
      <c r="F56" s="57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58" t="str">
        <f t="shared" si="0"/>
        <v>80</v>
      </c>
      <c r="F57" s="57" t="s">
        <v>167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58"/>
      <c r="F58" s="57" t="s">
        <v>165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58" t="str">
        <f t="shared" si="0"/>
        <v>27</v>
      </c>
      <c r="F59" s="57" t="s">
        <v>120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58">
        <f t="shared" si="0"/>
        <v>0</v>
      </c>
      <c r="F60" s="57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58" t="str">
        <f t="shared" si="0"/>
        <v>18</v>
      </c>
      <c r="F61" s="57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58" t="str">
        <f t="shared" si="0"/>
        <v>55</v>
      </c>
      <c r="F62" s="57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58">
        <f>IF(A63-INT(A63)&lt;&gt;0,RIGHT(C63,2),)</f>
        <v>0</v>
      </c>
      <c r="F63" s="57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58">
        <f t="shared" si="0"/>
        <v>0</v>
      </c>
      <c r="F64" s="57" t="s">
        <v>95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33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33"/>
      <c r="H66" s="1"/>
      <c r="I66" s="2"/>
      <c r="J66" s="3"/>
    </row>
    <row r="67" spans="3:10" ht="23.25">
      <c r="C67" s="1"/>
      <c r="D67" s="2"/>
      <c r="E67" s="3"/>
      <c r="F67" s="33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55" t="s">
        <v>25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220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120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165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166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167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24">
        <f>308370.6+731821.7+707028.38+614367.75+1218966.09+795165.16+545808.82+1319214.47+407359.79+237467</f>
        <v>6885569.76</v>
      </c>
      <c r="B77" s="24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64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64"/>
      <c r="M80" s="1"/>
    </row>
    <row r="81" spans="1:13" ht="23.25">
      <c r="A81" s="34">
        <f>10000+643000+50000+90000+650000+850000+944000+285000</f>
        <v>3522000</v>
      </c>
      <c r="B81" s="34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64"/>
      <c r="M81" s="1"/>
    </row>
    <row r="82" spans="1:13" ht="23.25">
      <c r="A82" s="34"/>
      <c r="B82" s="34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147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64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119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63</v>
      </c>
      <c r="G84" s="59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62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101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178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91" t="s">
        <v>238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91" t="s">
        <v>239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109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110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108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105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77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172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68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221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237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177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143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130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152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131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184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220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185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186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187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188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189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194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132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133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134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155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190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158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136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137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159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138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146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151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201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202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141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191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196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154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149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150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240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151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235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236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87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55" t="s">
        <v>22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203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124" zoomScaleSheetLayoutView="124" zoomScalePageLayoutView="0" workbookViewId="0" topLeftCell="A1">
      <selection activeCell="H45" sqref="H45"/>
    </sheetView>
  </sheetViews>
  <sheetFormatPr defaultColWidth="9.140625" defaultRowHeight="21.75" customHeight="1"/>
  <cols>
    <col min="1" max="1" width="5.7109375" style="22" customWidth="1"/>
    <col min="2" max="2" width="7.7109375" style="22" customWidth="1"/>
    <col min="3" max="3" width="49.7109375" style="22" customWidth="1"/>
    <col min="4" max="4" width="10.00390625" style="22" customWidth="1"/>
    <col min="5" max="5" width="18.421875" style="22" customWidth="1"/>
    <col min="6" max="6" width="19.140625" style="22" customWidth="1"/>
    <col min="7" max="7" width="9.140625" style="22" customWidth="1"/>
    <col min="8" max="9" width="16.421875" style="22" bestFit="1" customWidth="1"/>
    <col min="10" max="10" width="12.421875" style="22" bestFit="1" customWidth="1"/>
    <col min="11" max="16384" width="9.140625" style="22" customWidth="1"/>
  </cols>
  <sheetData>
    <row r="1" spans="1:6" ht="23.25" customHeight="1">
      <c r="A1" s="175" t="s">
        <v>180</v>
      </c>
      <c r="B1" s="175"/>
      <c r="C1" s="175"/>
      <c r="D1" s="175"/>
      <c r="E1" s="175"/>
      <c r="F1" s="175"/>
    </row>
    <row r="2" spans="1:6" ht="23.25" customHeight="1">
      <c r="A2" s="175" t="s">
        <v>39</v>
      </c>
      <c r="B2" s="175"/>
      <c r="C2" s="175"/>
      <c r="D2" s="175"/>
      <c r="E2" s="175"/>
      <c r="F2" s="175"/>
    </row>
    <row r="3" spans="1:6" ht="23.25" customHeight="1">
      <c r="A3" s="176" t="s">
        <v>336</v>
      </c>
      <c r="B3" s="176"/>
      <c r="C3" s="176"/>
      <c r="D3" s="176"/>
      <c r="E3" s="176"/>
      <c r="F3" s="176"/>
    </row>
    <row r="4" spans="1:6" ht="23.25" customHeight="1">
      <c r="A4" s="177" t="s">
        <v>4</v>
      </c>
      <c r="B4" s="178"/>
      <c r="C4" s="179"/>
      <c r="D4" s="39" t="s">
        <v>40</v>
      </c>
      <c r="E4" s="39" t="s">
        <v>41</v>
      </c>
      <c r="F4" s="39" t="s">
        <v>42</v>
      </c>
    </row>
    <row r="5" spans="1:6" ht="22.5" customHeight="1" hidden="1">
      <c r="A5" s="145" t="s">
        <v>255</v>
      </c>
      <c r="B5" s="146"/>
      <c r="C5" s="147"/>
      <c r="D5" s="40">
        <v>111100</v>
      </c>
      <c r="E5" s="35">
        <v>0</v>
      </c>
      <c r="F5" s="41"/>
    </row>
    <row r="6" spans="1:9" ht="22.5" customHeight="1">
      <c r="A6" s="148" t="s">
        <v>43</v>
      </c>
      <c r="B6" s="149"/>
      <c r="C6" s="150"/>
      <c r="D6" s="42" t="s">
        <v>314</v>
      </c>
      <c r="E6" s="23">
        <v>56062506.77</v>
      </c>
      <c r="F6" s="23"/>
      <c r="H6" s="90"/>
      <c r="I6" s="56"/>
    </row>
    <row r="7" spans="1:9" ht="22.5" customHeight="1">
      <c r="A7" s="43" t="s">
        <v>66</v>
      </c>
      <c r="B7" s="44"/>
      <c r="C7" s="45"/>
      <c r="D7" s="42" t="s">
        <v>314</v>
      </c>
      <c r="E7" s="23">
        <v>258523.77</v>
      </c>
      <c r="F7" s="23"/>
      <c r="H7" s="90" t="s">
        <v>256</v>
      </c>
      <c r="I7" s="56"/>
    </row>
    <row r="8" spans="1:9" ht="22.5" customHeight="1">
      <c r="A8" s="43" t="s">
        <v>64</v>
      </c>
      <c r="B8" s="44"/>
      <c r="C8" s="45"/>
      <c r="D8" s="42" t="s">
        <v>315</v>
      </c>
      <c r="E8" s="23">
        <v>5442793.4</v>
      </c>
      <c r="F8" s="23"/>
      <c r="H8" s="90"/>
      <c r="I8" s="56"/>
    </row>
    <row r="9" spans="1:9" ht="22.5" customHeight="1">
      <c r="A9" s="43" t="s">
        <v>60</v>
      </c>
      <c r="B9" s="44"/>
      <c r="C9" s="45"/>
      <c r="D9" s="42" t="s">
        <v>316</v>
      </c>
      <c r="E9" s="23">
        <v>3741772.88</v>
      </c>
      <c r="F9" s="23"/>
      <c r="H9" s="90"/>
      <c r="I9" s="56"/>
    </row>
    <row r="10" spans="1:9" ht="22.5" customHeight="1">
      <c r="A10" s="43" t="s">
        <v>127</v>
      </c>
      <c r="B10" s="44"/>
      <c r="C10" s="45"/>
      <c r="D10" s="42" t="s">
        <v>314</v>
      </c>
      <c r="E10" s="23">
        <v>559831.3</v>
      </c>
      <c r="F10" s="23"/>
      <c r="H10" s="90"/>
      <c r="I10" s="56"/>
    </row>
    <row r="11" spans="1:9" ht="22.5" customHeight="1">
      <c r="A11" s="43" t="s">
        <v>128</v>
      </c>
      <c r="B11" s="44"/>
      <c r="C11" s="45"/>
      <c r="D11" s="42" t="s">
        <v>315</v>
      </c>
      <c r="E11" s="23">
        <v>10000000</v>
      </c>
      <c r="F11" s="23"/>
      <c r="H11" s="90"/>
      <c r="I11" s="56"/>
    </row>
    <row r="12" spans="1:9" ht="22.5" customHeight="1">
      <c r="A12" s="43" t="s">
        <v>144</v>
      </c>
      <c r="B12" s="44"/>
      <c r="C12" s="45"/>
      <c r="D12" s="42" t="s">
        <v>314</v>
      </c>
      <c r="E12" s="23">
        <v>511336.71</v>
      </c>
      <c r="F12" s="23"/>
      <c r="H12" s="90">
        <f>+E12+E11+E10+E9+E8+E7+E6</f>
        <v>76576764.83</v>
      </c>
      <c r="I12" s="56"/>
    </row>
    <row r="13" spans="1:9" ht="22.5" customHeight="1">
      <c r="A13" s="47" t="s">
        <v>28</v>
      </c>
      <c r="B13" s="48"/>
      <c r="C13" s="49"/>
      <c r="D13" s="63" t="s">
        <v>308</v>
      </c>
      <c r="E13" s="60">
        <v>9141700.08</v>
      </c>
      <c r="F13" s="23"/>
      <c r="I13" s="56"/>
    </row>
    <row r="14" spans="1:6" ht="22.5" customHeight="1">
      <c r="A14" s="43" t="s">
        <v>106</v>
      </c>
      <c r="B14" s="44"/>
      <c r="C14" s="45"/>
      <c r="D14" s="42" t="s">
        <v>325</v>
      </c>
      <c r="E14" s="23">
        <v>88852383</v>
      </c>
      <c r="F14" s="23"/>
    </row>
    <row r="15" spans="1:6" ht="22.5" customHeight="1" hidden="1">
      <c r="A15" s="43" t="s">
        <v>95</v>
      </c>
      <c r="B15" s="44"/>
      <c r="C15" s="45"/>
      <c r="D15" s="42" t="s">
        <v>174</v>
      </c>
      <c r="E15" s="23"/>
      <c r="F15" s="23"/>
    </row>
    <row r="16" spans="1:6" ht="22.5" customHeight="1">
      <c r="A16" s="43" t="s">
        <v>37</v>
      </c>
      <c r="B16" s="44"/>
      <c r="C16" s="45"/>
      <c r="D16" s="42" t="s">
        <v>284</v>
      </c>
      <c r="E16" s="23">
        <v>46351</v>
      </c>
      <c r="F16" s="23"/>
    </row>
    <row r="17" spans="1:6" ht="22.5" customHeight="1" hidden="1">
      <c r="A17" s="43" t="s">
        <v>257</v>
      </c>
      <c r="B17" s="44"/>
      <c r="C17" s="45"/>
      <c r="D17" s="42" t="s">
        <v>168</v>
      </c>
      <c r="E17" s="23"/>
      <c r="F17" s="23"/>
    </row>
    <row r="18" spans="1:6" ht="22.5" customHeight="1">
      <c r="A18" s="43" t="s">
        <v>65</v>
      </c>
      <c r="B18" s="44"/>
      <c r="C18" s="45"/>
      <c r="D18" s="42" t="s">
        <v>286</v>
      </c>
      <c r="E18" s="23">
        <v>2000</v>
      </c>
      <c r="F18" s="23"/>
    </row>
    <row r="19" spans="1:6" ht="22.5" customHeight="1">
      <c r="A19" s="43" t="s">
        <v>54</v>
      </c>
      <c r="B19" s="44"/>
      <c r="C19" s="45"/>
      <c r="D19" s="42" t="s">
        <v>287</v>
      </c>
      <c r="E19" s="23">
        <v>110986</v>
      </c>
      <c r="F19" s="23"/>
    </row>
    <row r="20" spans="1:6" ht="22.5" customHeight="1">
      <c r="A20" s="43" t="s">
        <v>92</v>
      </c>
      <c r="B20" s="44"/>
      <c r="C20" s="45"/>
      <c r="D20" s="42" t="s">
        <v>288</v>
      </c>
      <c r="E20" s="60">
        <v>450700</v>
      </c>
      <c r="F20" s="23"/>
    </row>
    <row r="21" spans="1:6" ht="22.5" customHeight="1" hidden="1">
      <c r="A21" s="43" t="s">
        <v>178</v>
      </c>
      <c r="B21" s="44"/>
      <c r="C21" s="45"/>
      <c r="D21" s="42" t="s">
        <v>170</v>
      </c>
      <c r="E21" s="60"/>
      <c r="F21" s="23"/>
    </row>
    <row r="22" spans="1:6" ht="22.5" customHeight="1">
      <c r="A22" s="43" t="s">
        <v>274</v>
      </c>
      <c r="B22" s="44"/>
      <c r="C22" s="45"/>
      <c r="D22" s="42" t="s">
        <v>289</v>
      </c>
      <c r="E22" s="60">
        <v>6800</v>
      </c>
      <c r="F22" s="23"/>
    </row>
    <row r="23" spans="1:6" ht="22.5" customHeight="1">
      <c r="A23" s="43" t="s">
        <v>14</v>
      </c>
      <c r="B23" s="44"/>
      <c r="C23" s="45"/>
      <c r="D23" s="42" t="s">
        <v>312</v>
      </c>
      <c r="E23" s="23">
        <v>25228997.41</v>
      </c>
      <c r="F23" s="23"/>
    </row>
    <row r="24" spans="1:7" ht="22.5" customHeight="1">
      <c r="A24" s="43" t="s">
        <v>120</v>
      </c>
      <c r="B24" s="44"/>
      <c r="C24" s="45"/>
      <c r="D24" s="42" t="s">
        <v>313</v>
      </c>
      <c r="E24" s="23">
        <v>1367760</v>
      </c>
      <c r="F24" s="23"/>
      <c r="G24" s="22" t="s">
        <v>224</v>
      </c>
    </row>
    <row r="25" spans="1:7" ht="22.5" customHeight="1">
      <c r="A25" s="43" t="s">
        <v>179</v>
      </c>
      <c r="B25" s="44"/>
      <c r="C25" s="45"/>
      <c r="D25" s="42" t="s">
        <v>309</v>
      </c>
      <c r="E25" s="23">
        <v>16996776.2</v>
      </c>
      <c r="F25" s="23"/>
      <c r="G25" s="22" t="s">
        <v>224</v>
      </c>
    </row>
    <row r="26" spans="1:8" ht="22.5" customHeight="1">
      <c r="A26" s="43" t="s">
        <v>182</v>
      </c>
      <c r="B26" s="44"/>
      <c r="C26" s="45"/>
      <c r="D26" s="42" t="s">
        <v>309</v>
      </c>
      <c r="E26" s="23">
        <v>669440</v>
      </c>
      <c r="F26" s="23"/>
      <c r="G26" s="22" t="s">
        <v>224</v>
      </c>
      <c r="H26" s="56">
        <f>+E25+E26+E27</f>
        <v>43999135</v>
      </c>
    </row>
    <row r="27" spans="1:8" ht="22.5" customHeight="1">
      <c r="A27" s="43" t="s">
        <v>183</v>
      </c>
      <c r="B27" s="44"/>
      <c r="C27" s="45"/>
      <c r="D27" s="42" t="s">
        <v>309</v>
      </c>
      <c r="E27" s="23">
        <v>26332918.8</v>
      </c>
      <c r="F27" s="23"/>
      <c r="G27" s="22" t="s">
        <v>224</v>
      </c>
      <c r="H27" s="56"/>
    </row>
    <row r="28" spans="1:8" ht="22.5" customHeight="1">
      <c r="A28" s="43" t="s">
        <v>15</v>
      </c>
      <c r="B28" s="44"/>
      <c r="C28" s="45"/>
      <c r="D28" s="42" t="s">
        <v>297</v>
      </c>
      <c r="E28" s="23">
        <v>1581083.13</v>
      </c>
      <c r="F28" s="23"/>
      <c r="H28" s="56">
        <f>+E23+E24+E25+E26+E27+E28+E29+E30+E31</f>
        <v>91608174.75</v>
      </c>
    </row>
    <row r="29" spans="1:6" ht="22.5" customHeight="1">
      <c r="A29" s="43" t="s">
        <v>16</v>
      </c>
      <c r="B29" s="44"/>
      <c r="C29" s="45"/>
      <c r="D29" s="42" t="s">
        <v>301</v>
      </c>
      <c r="E29" s="23">
        <v>12472998.19</v>
      </c>
      <c r="F29" s="23"/>
    </row>
    <row r="30" spans="1:6" ht="22.5" customHeight="1">
      <c r="A30" s="43" t="s">
        <v>17</v>
      </c>
      <c r="B30" s="44"/>
      <c r="C30" s="45"/>
      <c r="D30" s="42" t="s">
        <v>299</v>
      </c>
      <c r="E30" s="23">
        <v>5633357.98</v>
      </c>
      <c r="F30" s="23"/>
    </row>
    <row r="31" spans="1:6" ht="22.5" customHeight="1">
      <c r="A31" s="43" t="s">
        <v>18</v>
      </c>
      <c r="B31" s="44"/>
      <c r="C31" s="45"/>
      <c r="D31" s="42" t="s">
        <v>302</v>
      </c>
      <c r="E31" s="23">
        <v>1324843.04</v>
      </c>
      <c r="F31" s="23"/>
    </row>
    <row r="32" spans="1:6" ht="22.5" customHeight="1">
      <c r="A32" s="43" t="s">
        <v>19</v>
      </c>
      <c r="B32" s="44"/>
      <c r="C32" s="45"/>
      <c r="D32" s="42" t="s">
        <v>322</v>
      </c>
      <c r="E32" s="23">
        <v>14859912.13</v>
      </c>
      <c r="F32" s="23"/>
    </row>
    <row r="33" spans="1:8" ht="22.5" customHeight="1">
      <c r="A33" s="37" t="s">
        <v>317</v>
      </c>
      <c r="B33" s="46"/>
      <c r="C33" s="45"/>
      <c r="D33" s="161" t="s">
        <v>318</v>
      </c>
      <c r="E33" s="23">
        <v>95900</v>
      </c>
      <c r="F33" s="23"/>
      <c r="H33" s="56">
        <f>+E33+E32</f>
        <v>14955812.13</v>
      </c>
    </row>
    <row r="34" spans="1:6" ht="22.5" customHeight="1">
      <c r="A34" s="111" t="s">
        <v>20</v>
      </c>
      <c r="B34" s="46"/>
      <c r="C34" s="45"/>
      <c r="D34" s="36" t="s">
        <v>327</v>
      </c>
      <c r="E34" s="23">
        <v>13696600</v>
      </c>
      <c r="F34" s="23"/>
    </row>
    <row r="35" spans="1:8" ht="22.5" customHeight="1">
      <c r="A35" s="37" t="s">
        <v>10</v>
      </c>
      <c r="B35" s="46"/>
      <c r="C35" s="45"/>
      <c r="D35" s="36" t="s">
        <v>328</v>
      </c>
      <c r="E35" s="23">
        <v>2035150</v>
      </c>
      <c r="F35" s="23"/>
      <c r="H35" s="56">
        <f>+E35+E34+E32+E31+E30+E29+E28+E27+E26+E25+E24+E23</f>
        <v>122199836.88000001</v>
      </c>
    </row>
    <row r="36" spans="1:6" ht="22.5" customHeight="1" hidden="1">
      <c r="A36" s="37" t="s">
        <v>147</v>
      </c>
      <c r="B36" s="46"/>
      <c r="C36" s="45"/>
      <c r="D36" s="36" t="s">
        <v>148</v>
      </c>
      <c r="E36" s="23"/>
      <c r="F36" s="23"/>
    </row>
    <row r="37" spans="1:6" ht="22.5" customHeight="1">
      <c r="A37" s="37" t="s">
        <v>276</v>
      </c>
      <c r="B37" s="46"/>
      <c r="C37" s="45"/>
      <c r="D37" s="36" t="s">
        <v>329</v>
      </c>
      <c r="E37" s="23">
        <v>450700</v>
      </c>
      <c r="F37" s="23"/>
    </row>
    <row r="38" spans="1:6" ht="22.5" customHeight="1">
      <c r="A38" s="37" t="s">
        <v>258</v>
      </c>
      <c r="B38" s="46"/>
      <c r="C38" s="45"/>
      <c r="D38" s="84" t="s">
        <v>330</v>
      </c>
      <c r="E38" s="23" t="s">
        <v>203</v>
      </c>
      <c r="F38" s="23">
        <v>0</v>
      </c>
    </row>
    <row r="39" spans="1:10" ht="22.5" customHeight="1">
      <c r="A39" s="43"/>
      <c r="B39" s="44" t="s">
        <v>104</v>
      </c>
      <c r="C39" s="45"/>
      <c r="D39" s="42" t="s">
        <v>331</v>
      </c>
      <c r="E39" s="23"/>
      <c r="F39" s="23">
        <v>163931813.35</v>
      </c>
      <c r="H39" s="22" t="s">
        <v>210</v>
      </c>
      <c r="I39" s="56">
        <v>163933803.35</v>
      </c>
      <c r="J39" s="56">
        <f>+F39-I39</f>
        <v>-1990</v>
      </c>
    </row>
    <row r="40" spans="1:8" ht="22.5" customHeight="1">
      <c r="A40" s="47"/>
      <c r="B40" s="48" t="s">
        <v>59</v>
      </c>
      <c r="C40" s="49"/>
      <c r="D40" s="161" t="s">
        <v>320</v>
      </c>
      <c r="E40" s="23"/>
      <c r="F40" s="112">
        <f>+หมายเหตุ!E32</f>
        <v>3571657.9899999998</v>
      </c>
      <c r="H40" s="22" t="s">
        <v>216</v>
      </c>
    </row>
    <row r="41" spans="1:6" ht="22.5" customHeight="1" hidden="1">
      <c r="A41" s="47"/>
      <c r="B41" s="48" t="s">
        <v>172</v>
      </c>
      <c r="C41" s="49"/>
      <c r="D41" s="42" t="s">
        <v>173</v>
      </c>
      <c r="E41" s="23"/>
      <c r="F41" s="23">
        <v>0</v>
      </c>
    </row>
    <row r="42" spans="1:6" ht="22.5" customHeight="1">
      <c r="A42" s="47"/>
      <c r="B42" s="48" t="s">
        <v>21</v>
      </c>
      <c r="C42" s="49"/>
      <c r="D42" s="42" t="s">
        <v>293</v>
      </c>
      <c r="E42" s="23"/>
      <c r="F42" s="23">
        <v>0</v>
      </c>
    </row>
    <row r="43" spans="1:6" ht="22.5" customHeight="1" hidden="1">
      <c r="A43" s="47"/>
      <c r="B43" s="48" t="s">
        <v>77</v>
      </c>
      <c r="C43" s="49"/>
      <c r="D43" s="42" t="s">
        <v>171</v>
      </c>
      <c r="E43" s="23"/>
      <c r="F43" s="23"/>
    </row>
    <row r="44" spans="1:6" ht="22.5" customHeight="1" hidden="1">
      <c r="A44" s="47"/>
      <c r="B44" s="48" t="s">
        <v>259</v>
      </c>
      <c r="C44" s="49"/>
      <c r="D44" s="42" t="s">
        <v>176</v>
      </c>
      <c r="E44" s="23"/>
      <c r="F44" s="23"/>
    </row>
    <row r="45" spans="1:6" ht="22.5" customHeight="1">
      <c r="A45" s="47"/>
      <c r="B45" s="48" t="s">
        <v>105</v>
      </c>
      <c r="C45" s="49"/>
      <c r="D45" s="42" t="s">
        <v>292</v>
      </c>
      <c r="E45" s="23"/>
      <c r="F45" s="23">
        <v>28507322.96</v>
      </c>
    </row>
    <row r="46" spans="1:6" ht="22.5" customHeight="1">
      <c r="A46" s="47"/>
      <c r="B46" s="48" t="s">
        <v>277</v>
      </c>
      <c r="C46" s="49"/>
      <c r="D46" s="42" t="s">
        <v>332</v>
      </c>
      <c r="E46" s="23"/>
      <c r="F46" s="23">
        <v>450700</v>
      </c>
    </row>
    <row r="47" spans="1:6" ht="22.5" customHeight="1">
      <c r="A47" s="47"/>
      <c r="B47" s="48" t="s">
        <v>12</v>
      </c>
      <c r="C47" s="49"/>
      <c r="D47" s="63" t="s">
        <v>290</v>
      </c>
      <c r="E47" s="60"/>
      <c r="F47" s="60">
        <v>73060436.49</v>
      </c>
    </row>
    <row r="48" spans="1:6" ht="22.5" customHeight="1">
      <c r="A48" s="151"/>
      <c r="B48" s="48" t="s">
        <v>69</v>
      </c>
      <c r="C48" s="49"/>
      <c r="D48" s="143" t="s">
        <v>291</v>
      </c>
      <c r="E48" s="67"/>
      <c r="F48" s="67">
        <v>28412191</v>
      </c>
    </row>
    <row r="49" spans="1:8" ht="22.5" customHeight="1" thickBot="1">
      <c r="A49" s="152"/>
      <c r="B49" s="153"/>
      <c r="C49" s="154"/>
      <c r="D49" s="144"/>
      <c r="E49" s="155">
        <f>SUM(E6:E37)</f>
        <v>297934121.78999996</v>
      </c>
      <c r="F49" s="155">
        <f>SUM(F39:F48)</f>
        <v>297934121.79</v>
      </c>
      <c r="H49" s="56">
        <f>+F49-E49</f>
        <v>0</v>
      </c>
    </row>
    <row r="50" spans="1:10" s="19" customFormat="1" ht="20.25" customHeight="1" thickTop="1">
      <c r="A50" s="165"/>
      <c r="B50" s="165"/>
      <c r="C50" s="165"/>
      <c r="D50" s="165"/>
      <c r="E50" s="166" t="s">
        <v>203</v>
      </c>
      <c r="F50" s="165" t="s">
        <v>203</v>
      </c>
      <c r="G50" s="61"/>
      <c r="H50" s="61"/>
      <c r="J50" s="38"/>
    </row>
    <row r="51" spans="1:8" ht="22.5" customHeight="1">
      <c r="A51" s="174"/>
      <c r="B51" s="174"/>
      <c r="C51" s="174"/>
      <c r="D51" s="167"/>
      <c r="E51" s="167"/>
      <c r="F51" s="167"/>
      <c r="G51" s="50"/>
      <c r="H51" s="50"/>
    </row>
    <row r="52" spans="1:8" ht="22.5" customHeight="1">
      <c r="A52" s="168"/>
      <c r="B52" s="168"/>
      <c r="C52" s="168"/>
      <c r="D52" s="169"/>
      <c r="E52" s="170"/>
      <c r="F52" s="170"/>
      <c r="G52" s="50"/>
      <c r="H52" s="50"/>
    </row>
    <row r="53" spans="1:8" ht="22.5" customHeight="1">
      <c r="A53" s="168"/>
      <c r="B53" s="171"/>
      <c r="C53" s="168"/>
      <c r="D53" s="52"/>
      <c r="E53" s="170"/>
      <c r="F53" s="170"/>
      <c r="G53" s="50"/>
      <c r="H53" s="50"/>
    </row>
    <row r="54" spans="1:8" ht="22.5" customHeight="1">
      <c r="A54" s="168"/>
      <c r="B54" s="171"/>
      <c r="C54" s="168"/>
      <c r="D54" s="52"/>
      <c r="E54" s="170"/>
      <c r="F54" s="170"/>
      <c r="G54" s="50"/>
      <c r="H54" s="50"/>
    </row>
    <row r="55" spans="1:8" ht="22.5" customHeight="1">
      <c r="A55" s="168"/>
      <c r="B55" s="171"/>
      <c r="C55" s="168"/>
      <c r="D55" s="52"/>
      <c r="E55" s="170"/>
      <c r="F55" s="170"/>
      <c r="G55" s="50"/>
      <c r="H55" s="50"/>
    </row>
    <row r="56" spans="1:8" ht="22.5" customHeight="1">
      <c r="A56" s="168"/>
      <c r="B56" s="171"/>
      <c r="C56" s="168"/>
      <c r="D56" s="52"/>
      <c r="E56" s="170"/>
      <c r="F56" s="170"/>
      <c r="G56" s="50"/>
      <c r="H56" s="50"/>
    </row>
    <row r="57" spans="1:8" ht="22.5" customHeight="1">
      <c r="A57" s="168"/>
      <c r="B57" s="171"/>
      <c r="C57" s="168"/>
      <c r="D57" s="52"/>
      <c r="E57" s="170"/>
      <c r="F57" s="170"/>
      <c r="G57" s="50"/>
      <c r="H57" s="50"/>
    </row>
    <row r="58" spans="1:8" ht="22.5" customHeight="1">
      <c r="A58" s="168"/>
      <c r="B58" s="171"/>
      <c r="C58" s="168"/>
      <c r="D58" s="52"/>
      <c r="E58" s="170"/>
      <c r="F58" s="170"/>
      <c r="G58" s="50"/>
      <c r="H58" s="50"/>
    </row>
    <row r="59" spans="1:8" ht="22.5" customHeight="1">
      <c r="A59" s="168"/>
      <c r="B59" s="171"/>
      <c r="C59" s="168"/>
      <c r="D59" s="52"/>
      <c r="E59" s="170"/>
      <c r="F59" s="170"/>
      <c r="G59" s="50"/>
      <c r="H59" s="50"/>
    </row>
    <row r="60" spans="1:8" ht="22.5" customHeight="1">
      <c r="A60" s="168"/>
      <c r="B60" s="171"/>
      <c r="C60" s="168"/>
      <c r="D60" s="52"/>
      <c r="E60" s="170"/>
      <c r="F60" s="170"/>
      <c r="G60" s="50"/>
      <c r="H60" s="50"/>
    </row>
    <row r="61" spans="1:8" ht="22.5" customHeight="1">
      <c r="A61" s="168"/>
      <c r="B61" s="171"/>
      <c r="C61" s="168"/>
      <c r="D61" s="52"/>
      <c r="E61" s="170"/>
      <c r="F61" s="170"/>
      <c r="G61" s="50"/>
      <c r="H61" s="50"/>
    </row>
    <row r="62" spans="1:8" ht="22.5" customHeight="1">
      <c r="A62" s="168"/>
      <c r="B62" s="171"/>
      <c r="C62" s="168"/>
      <c r="D62" s="52"/>
      <c r="E62" s="170"/>
      <c r="F62" s="170"/>
      <c r="G62" s="50"/>
      <c r="H62" s="50"/>
    </row>
    <row r="63" spans="1:8" ht="22.5" customHeight="1">
      <c r="A63" s="168"/>
      <c r="B63" s="171"/>
      <c r="C63" s="168"/>
      <c r="D63" s="52"/>
      <c r="E63" s="170"/>
      <c r="F63" s="170"/>
      <c r="G63" s="50"/>
      <c r="H63" s="172"/>
    </row>
    <row r="64" spans="1:9" ht="22.5" customHeight="1">
      <c r="A64" s="50"/>
      <c r="B64" s="50"/>
      <c r="C64" s="51"/>
      <c r="D64" s="52"/>
      <c r="E64" s="53"/>
      <c r="F64" s="53"/>
      <c r="G64" s="50"/>
      <c r="H64" s="172"/>
      <c r="I64" s="56">
        <f>E64-F64</f>
        <v>0</v>
      </c>
    </row>
    <row r="65" spans="1:8" ht="22.5" customHeight="1">
      <c r="A65" s="50"/>
      <c r="B65" s="50"/>
      <c r="C65" s="51"/>
      <c r="D65" s="52"/>
      <c r="E65" s="53"/>
      <c r="F65" s="53"/>
      <c r="G65" s="50"/>
      <c r="H65" s="50"/>
    </row>
    <row r="66" spans="1:8" ht="22.5" customHeight="1">
      <c r="A66" s="50"/>
      <c r="B66" s="50"/>
      <c r="C66" s="51"/>
      <c r="D66" s="52"/>
      <c r="E66" s="53"/>
      <c r="F66" s="53"/>
      <c r="G66" s="50"/>
      <c r="H66" s="50"/>
    </row>
    <row r="67" spans="1:8" ht="22.5" customHeight="1">
      <c r="A67" s="50"/>
      <c r="B67" s="50"/>
      <c r="C67" s="51"/>
      <c r="D67" s="52"/>
      <c r="E67" s="53"/>
      <c r="F67" s="53"/>
      <c r="G67" s="50"/>
      <c r="H67" s="50"/>
    </row>
    <row r="68" spans="1:8" ht="22.5" customHeight="1">
      <c r="A68" s="50"/>
      <c r="B68" s="50"/>
      <c r="C68" s="51"/>
      <c r="D68" s="52"/>
      <c r="E68" s="53"/>
      <c r="F68" s="53"/>
      <c r="G68" s="50"/>
      <c r="H68" s="50"/>
    </row>
    <row r="69" spans="1:8" ht="22.5" customHeight="1">
      <c r="A69" s="50"/>
      <c r="B69" s="50"/>
      <c r="C69" s="51"/>
      <c r="D69" s="52"/>
      <c r="E69" s="53"/>
      <c r="F69" s="53"/>
      <c r="G69" s="50"/>
      <c r="H69" s="50"/>
    </row>
    <row r="70" spans="1:8" ht="22.5" customHeight="1">
      <c r="A70" s="50"/>
      <c r="B70" s="50"/>
      <c r="C70" s="51"/>
      <c r="D70" s="52"/>
      <c r="E70" s="53"/>
      <c r="F70" s="53"/>
      <c r="G70" s="50"/>
      <c r="H70" s="50"/>
    </row>
    <row r="71" spans="1:8" ht="22.5" customHeight="1">
      <c r="A71" s="50"/>
      <c r="B71" s="50"/>
      <c r="C71" s="51"/>
      <c r="D71" s="52"/>
      <c r="E71" s="53"/>
      <c r="F71" s="53"/>
      <c r="G71" s="50"/>
      <c r="H71" s="50"/>
    </row>
    <row r="72" spans="1:8" ht="22.5" customHeight="1">
      <c r="A72" s="50"/>
      <c r="B72" s="50"/>
      <c r="C72" s="51"/>
      <c r="D72" s="52"/>
      <c r="E72" s="53"/>
      <c r="F72" s="53"/>
      <c r="G72" s="50"/>
      <c r="H72" s="50"/>
    </row>
    <row r="73" spans="1:8" ht="22.5" customHeight="1">
      <c r="A73" s="50"/>
      <c r="B73" s="50"/>
      <c r="C73" s="51"/>
      <c r="D73" s="52"/>
      <c r="E73" s="53"/>
      <c r="F73" s="53"/>
      <c r="G73" s="50"/>
      <c r="H73" s="50"/>
    </row>
    <row r="74" spans="1:8" ht="22.5" customHeight="1">
      <c r="A74" s="50"/>
      <c r="B74" s="50"/>
      <c r="C74" s="51"/>
      <c r="D74" s="52"/>
      <c r="E74" s="53"/>
      <c r="F74" s="53"/>
      <c r="G74" s="50"/>
      <c r="H74" s="50"/>
    </row>
    <row r="75" spans="1:8" ht="22.5" customHeight="1">
      <c r="A75" s="50"/>
      <c r="B75" s="50"/>
      <c r="C75" s="51"/>
      <c r="D75" s="52"/>
      <c r="E75" s="53"/>
      <c r="F75" s="53"/>
      <c r="G75" s="50"/>
      <c r="H75" s="50"/>
    </row>
    <row r="76" spans="1:8" ht="22.5" customHeight="1">
      <c r="A76" s="50"/>
      <c r="B76" s="50"/>
      <c r="C76" s="51"/>
      <c r="D76" s="52"/>
      <c r="E76" s="53"/>
      <c r="F76" s="53"/>
      <c r="G76" s="50"/>
      <c r="H76" s="50"/>
    </row>
    <row r="77" spans="1:8" ht="22.5" customHeight="1">
      <c r="A77" s="50"/>
      <c r="B77" s="50"/>
      <c r="C77" s="51"/>
      <c r="D77" s="52"/>
      <c r="E77" s="53"/>
      <c r="F77" s="53"/>
      <c r="G77" s="50"/>
      <c r="H77" s="50"/>
    </row>
    <row r="78" spans="1:8" ht="23.25" customHeight="1">
      <c r="A78" s="50"/>
      <c r="B78" s="50"/>
      <c r="C78" s="51"/>
      <c r="D78" s="52"/>
      <c r="E78" s="53"/>
      <c r="F78" s="53"/>
      <c r="G78" s="50"/>
      <c r="H78" s="50"/>
    </row>
    <row r="79" spans="1:8" ht="23.25" customHeight="1">
      <c r="A79" s="50"/>
      <c r="B79" s="50"/>
      <c r="C79" s="51"/>
      <c r="D79" s="52"/>
      <c r="E79" s="53"/>
      <c r="F79" s="53"/>
      <c r="G79" s="50"/>
      <c r="H79" s="50"/>
    </row>
    <row r="80" spans="1:8" ht="23.25" customHeight="1">
      <c r="A80" s="50"/>
      <c r="B80" s="50"/>
      <c r="C80" s="51"/>
      <c r="D80" s="52"/>
      <c r="E80" s="53"/>
      <c r="F80" s="53"/>
      <c r="G80" s="50"/>
      <c r="H80" s="50"/>
    </row>
    <row r="81" spans="1:8" ht="23.25" customHeight="1">
      <c r="A81" s="50"/>
      <c r="B81" s="50"/>
      <c r="C81" s="51"/>
      <c r="D81" s="52"/>
      <c r="E81" s="53"/>
      <c r="F81" s="53"/>
      <c r="G81" s="50"/>
      <c r="H81" s="50"/>
    </row>
    <row r="82" spans="1:8" ht="23.25" customHeight="1">
      <c r="A82" s="50"/>
      <c r="B82" s="50"/>
      <c r="C82" s="51"/>
      <c r="D82" s="52"/>
      <c r="E82" s="53"/>
      <c r="F82" s="53"/>
      <c r="G82" s="50"/>
      <c r="H82" s="50"/>
    </row>
    <row r="83" spans="1:8" ht="23.25" customHeight="1">
      <c r="A83" s="50"/>
      <c r="B83" s="50"/>
      <c r="C83" s="51"/>
      <c r="D83" s="52"/>
      <c r="E83" s="53"/>
      <c r="F83" s="53"/>
      <c r="G83" s="50"/>
      <c r="H83" s="50"/>
    </row>
    <row r="84" spans="1:6" ht="23.25" customHeight="1">
      <c r="A84" s="50"/>
      <c r="B84" s="50"/>
      <c r="C84" s="51"/>
      <c r="D84" s="52"/>
      <c r="E84" s="53"/>
      <c r="F84" s="53"/>
    </row>
    <row r="85" spans="1:6" ht="23.25" customHeight="1">
      <c r="A85" s="50"/>
      <c r="B85" s="50"/>
      <c r="C85" s="51"/>
      <c r="D85" s="52"/>
      <c r="E85" s="53"/>
      <c r="F85" s="53"/>
    </row>
    <row r="86" spans="1:6" ht="21.75" customHeight="1">
      <c r="A86" s="50"/>
      <c r="B86" s="50"/>
      <c r="C86" s="51"/>
      <c r="D86" s="52"/>
      <c r="E86" s="53"/>
      <c r="F86" s="53"/>
    </row>
    <row r="87" spans="1:6" ht="21.75" customHeight="1">
      <c r="A87" s="50"/>
      <c r="B87" s="50"/>
      <c r="C87" s="51"/>
      <c r="D87" s="52"/>
      <c r="E87" s="53"/>
      <c r="F87" s="53"/>
    </row>
  </sheetData>
  <sheetProtection/>
  <mergeCells count="5">
    <mergeCell ref="A51:C51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2" r:id="rId1"/>
  <rowBreaks count="2" manualBreakCount="2">
    <brk id="49" max="10" man="1"/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25">
      <selection activeCell="G2" sqref="G2"/>
    </sheetView>
  </sheetViews>
  <sheetFormatPr defaultColWidth="9.140625" defaultRowHeight="21.75"/>
  <cols>
    <col min="1" max="1" width="46.00390625" style="4" customWidth="1"/>
    <col min="2" max="2" width="15.8515625" style="4" customWidth="1"/>
    <col min="3" max="3" width="14.7109375" style="4" customWidth="1"/>
    <col min="4" max="4" width="14.8515625" style="4" customWidth="1"/>
    <col min="5" max="5" width="14.8515625" style="70" customWidth="1"/>
    <col min="6" max="6" width="10.00390625" style="4" bestFit="1" customWidth="1"/>
    <col min="7" max="7" width="12.421875" style="4" bestFit="1" customWidth="1"/>
    <col min="8" max="8" width="12.00390625" style="4" customWidth="1"/>
    <col min="9" max="9" width="10.140625" style="4" customWidth="1"/>
    <col min="10" max="16384" width="9.140625" style="4" customWidth="1"/>
  </cols>
  <sheetData>
    <row r="1" spans="1:5" ht="23.25">
      <c r="A1" s="180" t="s">
        <v>180</v>
      </c>
      <c r="B1" s="180"/>
      <c r="C1" s="180"/>
      <c r="D1" s="180"/>
      <c r="E1" s="180"/>
    </row>
    <row r="2" spans="1:7" ht="23.25">
      <c r="A2" s="180" t="s">
        <v>44</v>
      </c>
      <c r="B2" s="180"/>
      <c r="C2" s="180"/>
      <c r="D2" s="180"/>
      <c r="E2" s="180"/>
      <c r="G2" s="4" t="s">
        <v>203</v>
      </c>
    </row>
    <row r="3" spans="1:5" ht="23.25">
      <c r="A3" s="180" t="s">
        <v>337</v>
      </c>
      <c r="B3" s="180"/>
      <c r="C3" s="180"/>
      <c r="D3" s="180"/>
      <c r="E3" s="180"/>
    </row>
    <row r="4" spans="1:5" ht="23.25">
      <c r="A4" s="9"/>
      <c r="B4" s="9"/>
      <c r="C4" s="9"/>
      <c r="D4" s="9"/>
      <c r="E4" s="9"/>
    </row>
    <row r="5" spans="1:6" ht="23.25">
      <c r="A5" s="119" t="s">
        <v>11</v>
      </c>
      <c r="B5" s="16" t="s">
        <v>58</v>
      </c>
      <c r="C5" s="11" t="s">
        <v>45</v>
      </c>
      <c r="D5" s="11" t="s">
        <v>46</v>
      </c>
      <c r="E5" s="11" t="s">
        <v>47</v>
      </c>
      <c r="F5" s="6"/>
    </row>
    <row r="6" spans="1:7" ht="23.25">
      <c r="A6" s="136" t="s">
        <v>48</v>
      </c>
      <c r="B6" s="137">
        <v>62111.74</v>
      </c>
      <c r="C6" s="137">
        <v>177432.51</v>
      </c>
      <c r="D6" s="137">
        <v>62111.74</v>
      </c>
      <c r="E6" s="137">
        <f aca="true" t="shared" si="0" ref="E6:E31">+B6+C6-D6</f>
        <v>177432.51</v>
      </c>
      <c r="G6" s="4" t="s">
        <v>222</v>
      </c>
    </row>
    <row r="7" spans="1:5" ht="23.25">
      <c r="A7" s="136" t="s">
        <v>50</v>
      </c>
      <c r="B7" s="137">
        <v>49282.95</v>
      </c>
      <c r="C7" s="137">
        <v>292.05</v>
      </c>
      <c r="D7" s="137">
        <v>0</v>
      </c>
      <c r="E7" s="137">
        <f t="shared" si="0"/>
        <v>49575</v>
      </c>
    </row>
    <row r="8" spans="1:5" ht="23.25">
      <c r="A8" s="136" t="s">
        <v>78</v>
      </c>
      <c r="B8" s="137">
        <v>0</v>
      </c>
      <c r="C8" s="137">
        <v>0</v>
      </c>
      <c r="D8" s="137">
        <v>0</v>
      </c>
      <c r="E8" s="137">
        <f t="shared" si="0"/>
        <v>0</v>
      </c>
    </row>
    <row r="9" spans="1:6" ht="23.25">
      <c r="A9" s="136" t="s">
        <v>49</v>
      </c>
      <c r="B9" s="137">
        <v>2014088</v>
      </c>
      <c r="C9" s="138">
        <v>33876</v>
      </c>
      <c r="D9" s="137">
        <v>86282</v>
      </c>
      <c r="E9" s="137">
        <f t="shared" si="0"/>
        <v>1961682</v>
      </c>
      <c r="F9" s="70">
        <v>15165</v>
      </c>
    </row>
    <row r="10" spans="1:6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  <c r="F10" s="70"/>
    </row>
    <row r="11" spans="1:6" ht="23.25">
      <c r="A11" s="136" t="s">
        <v>161</v>
      </c>
      <c r="B11" s="137">
        <v>460000</v>
      </c>
      <c r="C11" s="137">
        <v>0</v>
      </c>
      <c r="D11" s="137">
        <v>100000</v>
      </c>
      <c r="E11" s="137">
        <f t="shared" si="0"/>
        <v>360000</v>
      </c>
      <c r="F11" s="70"/>
    </row>
    <row r="12" spans="1:6" ht="23.25">
      <c r="A12" s="136" t="s">
        <v>9</v>
      </c>
      <c r="B12" s="137">
        <v>43693</v>
      </c>
      <c r="C12" s="137">
        <v>372</v>
      </c>
      <c r="D12" s="137">
        <v>11948</v>
      </c>
      <c r="E12" s="137">
        <f t="shared" si="0"/>
        <v>32117</v>
      </c>
      <c r="F12" s="70"/>
    </row>
    <row r="13" spans="1:6" ht="23.25">
      <c r="A13" s="136" t="s">
        <v>51</v>
      </c>
      <c r="B13" s="137">
        <v>166018.77</v>
      </c>
      <c r="C13" s="137">
        <v>94505</v>
      </c>
      <c r="D13" s="137">
        <v>0</v>
      </c>
      <c r="E13" s="137">
        <f t="shared" si="0"/>
        <v>260523.77</v>
      </c>
      <c r="F13" s="70">
        <v>2000</v>
      </c>
    </row>
    <row r="14" spans="1:5" ht="23.25">
      <c r="A14" s="136" t="s">
        <v>99</v>
      </c>
      <c r="B14" s="137">
        <v>0</v>
      </c>
      <c r="C14" s="137">
        <v>0</v>
      </c>
      <c r="D14" s="137">
        <v>0</v>
      </c>
      <c r="E14" s="137">
        <f t="shared" si="0"/>
        <v>0</v>
      </c>
    </row>
    <row r="15" spans="1:10" ht="23.25">
      <c r="A15" s="136" t="s">
        <v>129</v>
      </c>
      <c r="B15" s="137">
        <v>0</v>
      </c>
      <c r="C15" s="137">
        <v>7000</v>
      </c>
      <c r="D15" s="137">
        <v>7000</v>
      </c>
      <c r="E15" s="137">
        <f t="shared" si="0"/>
        <v>0</v>
      </c>
      <c r="J15" s="4" t="s">
        <v>203</v>
      </c>
    </row>
    <row r="16" spans="1:5" ht="23.25">
      <c r="A16" s="136" t="s">
        <v>122</v>
      </c>
      <c r="B16" s="137">
        <v>0</v>
      </c>
      <c r="C16" s="137">
        <v>7980</v>
      </c>
      <c r="D16" s="137">
        <v>7980</v>
      </c>
      <c r="E16" s="137">
        <f t="shared" si="0"/>
        <v>0</v>
      </c>
    </row>
    <row r="17" spans="1:5" ht="23.25">
      <c r="A17" s="136" t="s">
        <v>142</v>
      </c>
      <c r="B17" s="137">
        <v>557842.71</v>
      </c>
      <c r="C17" s="137">
        <v>10000</v>
      </c>
      <c r="D17" s="137">
        <v>49706</v>
      </c>
      <c r="E17" s="137">
        <f>+B17+C17-D17</f>
        <v>518136.70999999996</v>
      </c>
    </row>
    <row r="18" spans="1:7" ht="23.25">
      <c r="A18" s="136" t="s">
        <v>123</v>
      </c>
      <c r="B18" s="137">
        <v>167817</v>
      </c>
      <c r="C18" s="137">
        <v>165496</v>
      </c>
      <c r="D18" s="137">
        <v>167817</v>
      </c>
      <c r="E18" s="137">
        <f t="shared" si="0"/>
        <v>165496</v>
      </c>
      <c r="G18" s="4">
        <v>4</v>
      </c>
    </row>
    <row r="19" spans="1:5" ht="23.25">
      <c r="A19" s="136" t="s">
        <v>319</v>
      </c>
      <c r="B19" s="137">
        <v>0</v>
      </c>
      <c r="C19" s="137">
        <v>13090.31</v>
      </c>
      <c r="D19" s="137">
        <v>13090.31</v>
      </c>
      <c r="E19" s="137">
        <f t="shared" si="0"/>
        <v>0</v>
      </c>
    </row>
    <row r="20" spans="1:5" ht="23.25">
      <c r="A20" s="136" t="s">
        <v>57</v>
      </c>
      <c r="B20" s="137">
        <v>0</v>
      </c>
      <c r="C20" s="137">
        <v>75900</v>
      </c>
      <c r="D20" s="137">
        <v>75900</v>
      </c>
      <c r="E20" s="137">
        <f t="shared" si="0"/>
        <v>0</v>
      </c>
    </row>
    <row r="21" spans="1:5" ht="23.25">
      <c r="A21" s="136" t="s">
        <v>55</v>
      </c>
      <c r="B21" s="137">
        <v>0</v>
      </c>
      <c r="C21" s="137">
        <v>253800</v>
      </c>
      <c r="D21" s="137">
        <v>253800</v>
      </c>
      <c r="E21" s="137">
        <f t="shared" si="0"/>
        <v>0</v>
      </c>
    </row>
    <row r="22" spans="1:10" ht="23.25">
      <c r="A22" s="136" t="s">
        <v>56</v>
      </c>
      <c r="B22" s="137">
        <v>0</v>
      </c>
      <c r="C22" s="137">
        <v>255025</v>
      </c>
      <c r="D22" s="137">
        <v>255025</v>
      </c>
      <c r="E22" s="137">
        <f t="shared" si="0"/>
        <v>0</v>
      </c>
      <c r="J22" s="4" t="s">
        <v>203</v>
      </c>
    </row>
    <row r="23" spans="1:5" ht="23.25">
      <c r="A23" s="139" t="s">
        <v>262</v>
      </c>
      <c r="B23" s="137">
        <v>0</v>
      </c>
      <c r="C23" s="137">
        <v>0</v>
      </c>
      <c r="D23" s="137">
        <v>0</v>
      </c>
      <c r="E23" s="137">
        <f t="shared" si="0"/>
        <v>0</v>
      </c>
    </row>
    <row r="24" spans="1:5" ht="23.25">
      <c r="A24" s="139" t="s">
        <v>263</v>
      </c>
      <c r="B24" s="137">
        <v>0</v>
      </c>
      <c r="C24" s="137">
        <v>0</v>
      </c>
      <c r="D24" s="137"/>
      <c r="E24" s="137">
        <f t="shared" si="0"/>
        <v>0</v>
      </c>
    </row>
    <row r="25" spans="1:5" ht="23.25">
      <c r="A25" s="139" t="s">
        <v>264</v>
      </c>
      <c r="B25" s="137">
        <v>0</v>
      </c>
      <c r="C25" s="137"/>
      <c r="D25" s="137"/>
      <c r="E25" s="137">
        <f t="shared" si="0"/>
        <v>0</v>
      </c>
    </row>
    <row r="26" spans="1:5" ht="23.25">
      <c r="A26" s="139" t="s">
        <v>265</v>
      </c>
      <c r="B26" s="137">
        <v>0</v>
      </c>
      <c r="C26" s="137">
        <v>0</v>
      </c>
      <c r="D26" s="137">
        <v>0</v>
      </c>
      <c r="E26" s="137">
        <f t="shared" si="0"/>
        <v>0</v>
      </c>
    </row>
    <row r="27" spans="1:5" ht="23.25">
      <c r="A27" s="139" t="s">
        <v>266</v>
      </c>
      <c r="B27" s="137">
        <v>0</v>
      </c>
      <c r="C27" s="137">
        <v>0</v>
      </c>
      <c r="D27" s="137">
        <v>0</v>
      </c>
      <c r="E27" s="137">
        <f t="shared" si="0"/>
        <v>0</v>
      </c>
    </row>
    <row r="28" spans="1:5" ht="23.25">
      <c r="A28" s="139" t="s">
        <v>267</v>
      </c>
      <c r="B28" s="137">
        <v>0</v>
      </c>
      <c r="C28" s="137">
        <v>0</v>
      </c>
      <c r="D28" s="137">
        <v>0</v>
      </c>
      <c r="E28" s="137">
        <f t="shared" si="0"/>
        <v>0</v>
      </c>
    </row>
    <row r="29" spans="1:5" ht="23.25">
      <c r="A29" s="139" t="s">
        <v>268</v>
      </c>
      <c r="B29" s="137">
        <v>65</v>
      </c>
      <c r="C29" s="137"/>
      <c r="D29" s="137">
        <v>0</v>
      </c>
      <c r="E29" s="137">
        <f t="shared" si="0"/>
        <v>65</v>
      </c>
    </row>
    <row r="30" spans="1:5" ht="23.25">
      <c r="A30" s="139" t="s">
        <v>269</v>
      </c>
      <c r="B30" s="137">
        <v>33500</v>
      </c>
      <c r="C30" s="137">
        <v>0</v>
      </c>
      <c r="D30" s="137">
        <v>0</v>
      </c>
      <c r="E30" s="137">
        <f t="shared" si="0"/>
        <v>33500</v>
      </c>
    </row>
    <row r="31" spans="1:6" ht="23.25">
      <c r="A31" s="139" t="s">
        <v>270</v>
      </c>
      <c r="B31" s="137">
        <v>2780</v>
      </c>
      <c r="C31" s="137">
        <v>0</v>
      </c>
      <c r="D31" s="137">
        <v>0</v>
      </c>
      <c r="E31" s="137">
        <f t="shared" si="0"/>
        <v>2780</v>
      </c>
      <c r="F31" s="160">
        <f>+E31+E30+E29</f>
        <v>36345</v>
      </c>
    </row>
    <row r="32" spans="1:8" ht="24" thickBot="1">
      <c r="A32" s="120"/>
      <c r="B32" s="18">
        <f>SUM(B6:B31)</f>
        <v>3567549.17</v>
      </c>
      <c r="C32" s="18">
        <f>SUM(C6:C31)</f>
        <v>1094768.87</v>
      </c>
      <c r="D32" s="18">
        <f>SUM(D6:D31)</f>
        <v>1090660.05</v>
      </c>
      <c r="E32" s="18">
        <f>SUM(E6:E31)</f>
        <v>3571657.9899999998</v>
      </c>
      <c r="G32" s="70">
        <v>4919012.81</v>
      </c>
      <c r="H32" s="160">
        <f>+G32-E32</f>
        <v>1347354.8199999998</v>
      </c>
    </row>
    <row r="33" spans="1:5" ht="24" customHeight="1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3.25">
      <c r="A35" s="12" t="s">
        <v>162</v>
      </c>
      <c r="B35" s="14"/>
      <c r="C35" s="12"/>
      <c r="D35" s="12"/>
      <c r="E35" s="71">
        <v>0</v>
      </c>
    </row>
    <row r="36" spans="1:7" ht="23.25">
      <c r="A36" s="12" t="s">
        <v>163</v>
      </c>
      <c r="B36" s="12"/>
      <c r="C36" s="12"/>
      <c r="D36" s="12"/>
      <c r="E36" s="15">
        <v>0</v>
      </c>
      <c r="G36" s="4" t="s">
        <v>203</v>
      </c>
    </row>
    <row r="37" spans="1:5" ht="23.25">
      <c r="A37" s="12" t="s">
        <v>164</v>
      </c>
      <c r="B37" s="12"/>
      <c r="C37" s="12"/>
      <c r="D37" s="12"/>
      <c r="E37" s="15">
        <v>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0</v>
      </c>
    </row>
    <row r="39" spans="1:5" ht="24" thickTop="1">
      <c r="A39" s="12"/>
      <c r="B39" s="12"/>
      <c r="C39" s="12"/>
      <c r="D39" s="12"/>
      <c r="E39" s="12"/>
    </row>
    <row r="40" ht="23.25">
      <c r="E40" s="4"/>
    </row>
    <row r="41" ht="23.25">
      <c r="E41" s="4"/>
    </row>
    <row r="42" ht="23.25">
      <c r="E42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9">
      <selection activeCell="H24" sqref="H24"/>
    </sheetView>
  </sheetViews>
  <sheetFormatPr defaultColWidth="9.140625" defaultRowHeight="21.75"/>
  <cols>
    <col min="1" max="1" width="44.00390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7" width="9.140625" style="4" customWidth="1"/>
    <col min="8" max="8" width="12.140625" style="4" customWidth="1"/>
    <col min="9" max="9" width="13.28125" style="4" customWidth="1"/>
    <col min="10" max="16384" width="9.140625" style="4" customWidth="1"/>
  </cols>
  <sheetData>
    <row r="1" spans="1:5" ht="23.25">
      <c r="A1" s="180" t="s">
        <v>180</v>
      </c>
      <c r="B1" s="180"/>
      <c r="C1" s="180"/>
      <c r="D1" s="180"/>
      <c r="E1" s="180"/>
    </row>
    <row r="2" spans="1:5" ht="23.25">
      <c r="A2" s="180" t="s">
        <v>44</v>
      </c>
      <c r="B2" s="180"/>
      <c r="C2" s="180"/>
      <c r="D2" s="180"/>
      <c r="E2" s="180"/>
    </row>
    <row r="3" spans="1:5" ht="23.25">
      <c r="A3" s="180" t="s">
        <v>335</v>
      </c>
      <c r="B3" s="180"/>
      <c r="C3" s="180"/>
      <c r="D3" s="180"/>
      <c r="E3" s="180"/>
    </row>
    <row r="4" spans="1:5" ht="21" customHeight="1">
      <c r="A4" s="9"/>
      <c r="B4" s="9"/>
      <c r="C4" s="9"/>
      <c r="D4" s="9"/>
      <c r="E4" s="9"/>
    </row>
    <row r="5" spans="1:7" ht="23.25">
      <c r="A5" s="119" t="s">
        <v>11</v>
      </c>
      <c r="B5" s="16" t="s">
        <v>58</v>
      </c>
      <c r="C5" s="11" t="s">
        <v>45</v>
      </c>
      <c r="D5" s="11" t="s">
        <v>46</v>
      </c>
      <c r="E5" s="16" t="s">
        <v>47</v>
      </c>
      <c r="F5" s="6"/>
      <c r="G5" s="4" t="s">
        <v>212</v>
      </c>
    </row>
    <row r="6" spans="1:5" ht="23.25">
      <c r="A6" s="136" t="s">
        <v>48</v>
      </c>
      <c r="B6" s="137">
        <v>45725.52</v>
      </c>
      <c r="C6" s="137">
        <f>15364.39+29060.44+29191.96+102947.34+59439.53+77837.12+62111.74+177432.51</f>
        <v>553385.03</v>
      </c>
      <c r="D6" s="137">
        <f>45725.52+15364.39+29060.44+29191.96+102947.34+59439.53+77837.12+62111.74</f>
        <v>421678.04</v>
      </c>
      <c r="E6" s="137">
        <f>+B6+C6-D6</f>
        <v>177432.51000000007</v>
      </c>
    </row>
    <row r="7" spans="1:5" ht="23.25">
      <c r="A7" s="136" t="s">
        <v>50</v>
      </c>
      <c r="B7" s="137">
        <v>46443.55</v>
      </c>
      <c r="C7" s="137">
        <f>10.4+19.75+638.85+980+678.5+511.9+292.05</f>
        <v>3131.4500000000003</v>
      </c>
      <c r="D7" s="137">
        <v>0</v>
      </c>
      <c r="E7" s="137">
        <f>+B7+C7-D7</f>
        <v>49575</v>
      </c>
    </row>
    <row r="8" spans="1:5" ht="23.25">
      <c r="A8" s="136" t="s">
        <v>78</v>
      </c>
      <c r="B8" s="137">
        <v>0</v>
      </c>
      <c r="C8" s="137">
        <f>3016805+1025000+600000</f>
        <v>4641805</v>
      </c>
      <c r="D8" s="137">
        <f>2432190+757850+1056550+395215</f>
        <v>4641805</v>
      </c>
      <c r="E8" s="137">
        <f aca="true" t="shared" si="0" ref="E8:E31">+B8+C8-D8</f>
        <v>0</v>
      </c>
    </row>
    <row r="9" spans="1:5" ht="23.25">
      <c r="A9" s="136" t="s">
        <v>49</v>
      </c>
      <c r="B9" s="137">
        <v>1455784</v>
      </c>
      <c r="C9" s="138">
        <f>54814+11907+73900+156309+207602+333423+36430+33876</f>
        <v>908261</v>
      </c>
      <c r="D9" s="137">
        <f>57407+22011+25805+20690+81260+67408+41500+86282</f>
        <v>402363</v>
      </c>
      <c r="E9" s="137">
        <f t="shared" si="0"/>
        <v>1961682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360000</v>
      </c>
      <c r="C11" s="137">
        <f>100000+150000</f>
        <v>250000</v>
      </c>
      <c r="D11" s="137">
        <f>100000+50000+100000</f>
        <v>250000</v>
      </c>
      <c r="E11" s="137">
        <f t="shared" si="0"/>
        <v>360000</v>
      </c>
    </row>
    <row r="12" spans="1:5" ht="23.25">
      <c r="A12" s="136" t="s">
        <v>9</v>
      </c>
      <c r="B12" s="137">
        <v>5938</v>
      </c>
      <c r="C12" s="137">
        <f>68+40755+372</f>
        <v>41195</v>
      </c>
      <c r="D12" s="137">
        <f>68+3000+11948</f>
        <v>15016</v>
      </c>
      <c r="E12" s="137">
        <f t="shared" si="0"/>
        <v>32117</v>
      </c>
    </row>
    <row r="13" spans="1:5" ht="23.25">
      <c r="A13" s="136" t="s">
        <v>51</v>
      </c>
      <c r="B13" s="137">
        <v>126940.72</v>
      </c>
      <c r="C13" s="137">
        <f>978.05+12700+12700+12700+94505</f>
        <v>133583.05</v>
      </c>
      <c r="D13" s="137">
        <v>0</v>
      </c>
      <c r="E13" s="137">
        <f t="shared" si="0"/>
        <v>260523.77</v>
      </c>
    </row>
    <row r="14" spans="1:5" ht="23.25">
      <c r="A14" s="136" t="s">
        <v>99</v>
      </c>
      <c r="B14" s="137">
        <v>0</v>
      </c>
      <c r="C14" s="137">
        <f>4000+369683+369683</f>
        <v>743366</v>
      </c>
      <c r="D14" s="137">
        <f>4000+369683+369683</f>
        <v>743366</v>
      </c>
      <c r="E14" s="137">
        <f t="shared" si="0"/>
        <v>0</v>
      </c>
    </row>
    <row r="15" spans="1:5" ht="23.25">
      <c r="A15" s="136" t="s">
        <v>129</v>
      </c>
      <c r="B15" s="137">
        <v>0</v>
      </c>
      <c r="C15" s="137">
        <f>7000+7000+7000+7000</f>
        <v>28000</v>
      </c>
      <c r="D15" s="137">
        <f>7000+7000+7000+7000</f>
        <v>28000</v>
      </c>
      <c r="E15" s="137">
        <f t="shared" si="0"/>
        <v>0</v>
      </c>
    </row>
    <row r="16" spans="1:5" ht="23.25">
      <c r="A16" s="136" t="s">
        <v>122</v>
      </c>
      <c r="B16" s="137">
        <f>+'[1]หมายเหตุ'!$E$16</f>
        <v>0</v>
      </c>
      <c r="C16" s="137">
        <f>4210+12705+4320+944+1086+14000+7980</f>
        <v>45245</v>
      </c>
      <c r="D16" s="137">
        <f>4210+12705+2850+2050+1450+14000+7980</f>
        <v>45245</v>
      </c>
      <c r="E16" s="137">
        <f t="shared" si="0"/>
        <v>0</v>
      </c>
    </row>
    <row r="17" spans="1:5" ht="23.25">
      <c r="A17" s="136" t="s">
        <v>142</v>
      </c>
      <c r="B17" s="137">
        <v>409195.69</v>
      </c>
      <c r="C17" s="137">
        <f>1103130+552000+1941.02+10000</f>
        <v>1667071.02</v>
      </c>
      <c r="D17" s="137">
        <f>6110+77459+9100+1010905+404850+49706</f>
        <v>1558130</v>
      </c>
      <c r="E17" s="137">
        <f t="shared" si="0"/>
        <v>518136.70999999996</v>
      </c>
    </row>
    <row r="18" spans="1:5" ht="23.25">
      <c r="A18" s="136" t="s">
        <v>123</v>
      </c>
      <c r="B18" s="137">
        <v>0</v>
      </c>
      <c r="C18" s="137">
        <f>158383+155916+163916+165965+167180+168534+167817+165496</f>
        <v>1313207</v>
      </c>
      <c r="D18" s="137">
        <f>158383+155916+163916+165965+168534+167180+167817</f>
        <v>1147711</v>
      </c>
      <c r="E18" s="137">
        <f t="shared" si="0"/>
        <v>165496</v>
      </c>
    </row>
    <row r="19" spans="1:5" ht="23.25">
      <c r="A19" s="136" t="s">
        <v>319</v>
      </c>
      <c r="B19" s="137">
        <v>0</v>
      </c>
      <c r="C19" s="137">
        <f>18456.18+21071.43+18796.88+13090.31</f>
        <v>71414.8</v>
      </c>
      <c r="D19" s="137">
        <f>18456.18+21071.43+18796.88+13090.31</f>
        <v>71414.8</v>
      </c>
      <c r="E19" s="137">
        <f t="shared" si="0"/>
        <v>0</v>
      </c>
    </row>
    <row r="20" spans="1:5" ht="23.25">
      <c r="A20" s="136" t="s">
        <v>57</v>
      </c>
      <c r="B20" s="137"/>
      <c r="C20" s="137">
        <f>75400+68000+68500+74700+74700+74700+74700+75900</f>
        <v>586600</v>
      </c>
      <c r="D20" s="137">
        <f>75400+68000+68500+74700+74700+74700+74700+75900</f>
        <v>586600</v>
      </c>
      <c r="E20" s="137">
        <f t="shared" si="0"/>
        <v>0</v>
      </c>
    </row>
    <row r="21" spans="1:8" ht="23.25">
      <c r="A21" s="136" t="s">
        <v>55</v>
      </c>
      <c r="B21" s="137"/>
      <c r="C21" s="137">
        <f>277400+260400+284700+269400+269400+269400+269400+253800</f>
        <v>2153900</v>
      </c>
      <c r="D21" s="137">
        <f>277400+260400+284700+269400+269400+269400+269400+253800</f>
        <v>2153900</v>
      </c>
      <c r="E21" s="137">
        <f t="shared" si="0"/>
        <v>0</v>
      </c>
      <c r="H21" s="4" t="s">
        <v>203</v>
      </c>
    </row>
    <row r="22" spans="1:5" ht="23.25">
      <c r="A22" s="136" t="s">
        <v>56</v>
      </c>
      <c r="B22" s="137">
        <v>0</v>
      </c>
      <c r="C22" s="137">
        <f>254904+250053.09+224408+229308+229308+249625+249625+255025</f>
        <v>1942256.0899999999</v>
      </c>
      <c r="D22" s="137">
        <f>254904+250053.09+224408+229308+229308+249625+249625+255025</f>
        <v>1942256.0899999999</v>
      </c>
      <c r="E22" s="137">
        <f t="shared" si="0"/>
        <v>0</v>
      </c>
    </row>
    <row r="23" spans="1:5" ht="23.25">
      <c r="A23" s="139" t="s">
        <v>262</v>
      </c>
      <c r="B23" s="141">
        <v>28600</v>
      </c>
      <c r="C23" s="137">
        <v>0</v>
      </c>
      <c r="D23" s="137">
        <v>28600</v>
      </c>
      <c r="E23" s="137">
        <f t="shared" si="0"/>
        <v>0</v>
      </c>
    </row>
    <row r="24" spans="1:5" ht="23.25">
      <c r="A24" s="139" t="s">
        <v>263</v>
      </c>
      <c r="B24" s="141">
        <v>114400</v>
      </c>
      <c r="C24" s="137">
        <f>800+31200</f>
        <v>32000</v>
      </c>
      <c r="D24" s="137">
        <f>113600+1600+31200</f>
        <v>146400</v>
      </c>
      <c r="E24" s="137">
        <f t="shared" si="0"/>
        <v>0</v>
      </c>
    </row>
    <row r="25" spans="1:5" ht="23.25">
      <c r="A25" s="139" t="s">
        <v>264</v>
      </c>
      <c r="B25" s="141">
        <v>68710</v>
      </c>
      <c r="C25" s="137">
        <v>0</v>
      </c>
      <c r="D25" s="137">
        <v>68710</v>
      </c>
      <c r="E25" s="137">
        <f t="shared" si="0"/>
        <v>0</v>
      </c>
    </row>
    <row r="26" spans="1:5" ht="23.25">
      <c r="A26" s="139" t="s">
        <v>265</v>
      </c>
      <c r="B26" s="141">
        <v>103776.46</v>
      </c>
      <c r="C26" s="137">
        <v>0</v>
      </c>
      <c r="D26" s="137">
        <f>27136+28880+28880+17740.46+1140</f>
        <v>103776.45999999999</v>
      </c>
      <c r="E26" s="137">
        <f t="shared" si="0"/>
        <v>0</v>
      </c>
    </row>
    <row r="27" spans="1:5" ht="23.25">
      <c r="A27" s="139" t="s">
        <v>266</v>
      </c>
      <c r="B27" s="141">
        <v>10129.04</v>
      </c>
      <c r="C27" s="137">
        <v>0</v>
      </c>
      <c r="D27" s="137">
        <f>6000+4129.04</f>
        <v>10129.04</v>
      </c>
      <c r="E27" s="137">
        <f t="shared" si="0"/>
        <v>0</v>
      </c>
    </row>
    <row r="28" spans="1:5" ht="23.25">
      <c r="A28" s="139" t="s">
        <v>267</v>
      </c>
      <c r="B28" s="141">
        <v>7051</v>
      </c>
      <c r="C28" s="137">
        <v>0</v>
      </c>
      <c r="D28" s="137">
        <f>1744+1744+1744+1744+75</f>
        <v>7051</v>
      </c>
      <c r="E28" s="137">
        <f t="shared" si="0"/>
        <v>0</v>
      </c>
    </row>
    <row r="29" spans="1:5" ht="23.25">
      <c r="A29" s="139" t="s">
        <v>268</v>
      </c>
      <c r="B29" s="141">
        <v>32640</v>
      </c>
      <c r="C29" s="137">
        <v>0</v>
      </c>
      <c r="D29" s="137">
        <v>32575</v>
      </c>
      <c r="E29" s="137">
        <f t="shared" si="0"/>
        <v>65</v>
      </c>
    </row>
    <row r="30" spans="1:5" ht="23.25">
      <c r="A30" s="139" t="s">
        <v>269</v>
      </c>
      <c r="B30" s="141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270</v>
      </c>
      <c r="B31" s="141">
        <v>2780</v>
      </c>
      <c r="C31" s="140">
        <v>0</v>
      </c>
      <c r="D31" s="140">
        <v>0</v>
      </c>
      <c r="E31" s="137">
        <f t="shared" si="0"/>
        <v>2780</v>
      </c>
    </row>
    <row r="32" spans="1:8" ht="21" customHeight="1" thickBot="1">
      <c r="A32" s="12"/>
      <c r="B32" s="142">
        <f>SUM(B6:B31)</f>
        <v>2861963.98</v>
      </c>
      <c r="C32" s="18">
        <f>SUM(C6:C31)</f>
        <v>15114420.440000001</v>
      </c>
      <c r="D32" s="18">
        <f>SUM(D6:D31)</f>
        <v>14404726.43</v>
      </c>
      <c r="E32" s="18">
        <f>SUM(E6:E31)</f>
        <v>3571657.99</v>
      </c>
      <c r="H32" s="160">
        <f>+E32-หมายเหตุ!E32</f>
        <v>0</v>
      </c>
    </row>
    <row r="33" spans="1:5" ht="24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4" customHeight="1">
      <c r="A35" s="12" t="s">
        <v>162</v>
      </c>
      <c r="B35" s="14"/>
      <c r="C35" s="12"/>
      <c r="D35" s="12"/>
      <c r="E35" s="71"/>
    </row>
    <row r="36" spans="1:5" ht="23.25">
      <c r="A36" s="12" t="s">
        <v>163</v>
      </c>
      <c r="B36" s="12"/>
      <c r="C36" s="12"/>
      <c r="D36" s="12"/>
      <c r="E36" s="15">
        <v>34000</v>
      </c>
    </row>
    <row r="37" spans="1:5" ht="23.25">
      <c r="A37" s="12" t="s">
        <v>164</v>
      </c>
      <c r="B37" s="12"/>
      <c r="C37" s="12"/>
      <c r="D37" s="12"/>
      <c r="E37" s="15">
        <f>132800+4780000</f>
        <v>4912800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4946800</v>
      </c>
    </row>
    <row r="39" spans="1:5" ht="21.75" customHeight="1" thickTop="1">
      <c r="A39" s="12"/>
      <c r="B39" s="12"/>
      <c r="C39" s="12"/>
      <c r="D39" s="12"/>
      <c r="E39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142" zoomScaleSheetLayoutView="142" zoomScalePageLayoutView="0" workbookViewId="0" topLeftCell="C69">
      <selection activeCell="E75" sqref="E75"/>
    </sheetView>
  </sheetViews>
  <sheetFormatPr defaultColWidth="9.140625" defaultRowHeight="21.75"/>
  <cols>
    <col min="1" max="1" width="14.57421875" style="19" customWidth="1"/>
    <col min="2" max="2" width="12.57421875" style="19" customWidth="1"/>
    <col min="3" max="3" width="9.7109375" style="19" customWidth="1"/>
    <col min="4" max="4" width="14.8515625" style="19" customWidth="1"/>
    <col min="5" max="5" width="46.7109375" style="19" customWidth="1"/>
    <col min="6" max="6" width="8.421875" style="19" customWidth="1"/>
    <col min="7" max="7" width="14.7109375" style="19" customWidth="1"/>
    <col min="8" max="8" width="6.00390625" style="19" customWidth="1"/>
    <col min="9" max="9" width="14.421875" style="19" customWidth="1"/>
    <col min="10" max="10" width="14.57421875" style="19" bestFit="1" customWidth="1"/>
    <col min="11" max="11" width="12.28125" style="19" customWidth="1"/>
    <col min="12" max="13" width="12.421875" style="19" bestFit="1" customWidth="1"/>
    <col min="14" max="16384" width="9.140625" style="19" customWidth="1"/>
  </cols>
  <sheetData>
    <row r="1" spans="1:7" ht="21">
      <c r="A1" s="180" t="s">
        <v>241</v>
      </c>
      <c r="B1" s="180"/>
      <c r="C1" s="180"/>
      <c r="D1" s="180"/>
      <c r="E1" s="180"/>
      <c r="F1" s="180"/>
      <c r="G1" s="180"/>
    </row>
    <row r="2" spans="1:8" ht="21">
      <c r="A2" s="180" t="s">
        <v>204</v>
      </c>
      <c r="B2" s="180"/>
      <c r="C2" s="180"/>
      <c r="D2" s="180"/>
      <c r="E2" s="180"/>
      <c r="F2" s="180"/>
      <c r="G2" s="180"/>
      <c r="H2" s="180"/>
    </row>
    <row r="3" spans="1:9" ht="21.75" thickBot="1">
      <c r="A3" s="186" t="s">
        <v>338</v>
      </c>
      <c r="B3" s="186"/>
      <c r="C3" s="186"/>
      <c r="D3" s="186"/>
      <c r="E3" s="186"/>
      <c r="F3" s="186"/>
      <c r="G3" s="186"/>
      <c r="H3" s="17"/>
      <c r="I3" s="96" t="s">
        <v>243</v>
      </c>
    </row>
    <row r="4" spans="1:8" ht="20.25" thickBot="1" thickTop="1">
      <c r="A4" s="182" t="s">
        <v>0</v>
      </c>
      <c r="B4" s="183"/>
      <c r="C4" s="183"/>
      <c r="D4" s="183"/>
      <c r="E4" s="74"/>
      <c r="F4" s="78"/>
      <c r="G4" s="99" t="s">
        <v>53</v>
      </c>
      <c r="H4" s="124"/>
    </row>
    <row r="5" spans="1:9" ht="18.75">
      <c r="A5" s="75"/>
      <c r="B5" s="94" t="s">
        <v>205</v>
      </c>
      <c r="C5" s="75"/>
      <c r="D5" s="75" t="s">
        <v>242</v>
      </c>
      <c r="E5" s="76" t="s">
        <v>4</v>
      </c>
      <c r="F5" s="77" t="s">
        <v>5</v>
      </c>
      <c r="G5" s="100" t="s">
        <v>7</v>
      </c>
      <c r="H5" s="125">
        <v>1</v>
      </c>
      <c r="I5" s="19" t="s">
        <v>244</v>
      </c>
    </row>
    <row r="6" spans="1:9" ht="18.75">
      <c r="A6" s="77" t="s">
        <v>1</v>
      </c>
      <c r="B6" s="77" t="s">
        <v>206</v>
      </c>
      <c r="C6" s="77" t="s">
        <v>31</v>
      </c>
      <c r="D6" s="77" t="s">
        <v>3</v>
      </c>
      <c r="E6" s="74"/>
      <c r="F6" s="77" t="s">
        <v>6</v>
      </c>
      <c r="G6" s="100" t="s">
        <v>3</v>
      </c>
      <c r="H6" s="125">
        <v>2</v>
      </c>
      <c r="I6" s="19" t="s">
        <v>246</v>
      </c>
    </row>
    <row r="7" spans="1:9" ht="19.5" thickBot="1">
      <c r="A7" s="79" t="s">
        <v>208</v>
      </c>
      <c r="B7" s="79" t="s">
        <v>207</v>
      </c>
      <c r="C7" s="79" t="s">
        <v>208</v>
      </c>
      <c r="D7" s="79" t="s">
        <v>208</v>
      </c>
      <c r="E7" s="80"/>
      <c r="F7" s="79"/>
      <c r="G7" s="101" t="s">
        <v>2</v>
      </c>
      <c r="H7" s="125">
        <v>3</v>
      </c>
      <c r="I7" s="19" t="s">
        <v>245</v>
      </c>
    </row>
    <row r="8" spans="1:9" ht="19.5" thickTop="1">
      <c r="A8" s="74"/>
      <c r="B8" s="74"/>
      <c r="C8" s="74"/>
      <c r="D8" s="74"/>
      <c r="E8" s="86" t="s">
        <v>8</v>
      </c>
      <c r="F8" s="86"/>
      <c r="G8" s="121">
        <v>86823514.58</v>
      </c>
      <c r="H8" s="97">
        <v>4</v>
      </c>
      <c r="I8" s="19" t="s">
        <v>247</v>
      </c>
    </row>
    <row r="9" spans="1:9" ht="18.75">
      <c r="A9" s="74"/>
      <c r="B9" s="74"/>
      <c r="C9" s="74"/>
      <c r="D9" s="74"/>
      <c r="E9" s="126" t="s">
        <v>271</v>
      </c>
      <c r="F9" s="92"/>
      <c r="G9" s="92"/>
      <c r="H9" s="97">
        <v>5</v>
      </c>
      <c r="I9" s="98" t="s">
        <v>248</v>
      </c>
    </row>
    <row r="10" spans="1:8" ht="18.75">
      <c r="A10" s="105">
        <v>12200000</v>
      </c>
      <c r="B10" s="74"/>
      <c r="C10" s="74"/>
      <c r="D10" s="114">
        <f>71652.6+48905+54549.25+1086360.15+5536457+3225319.5+944320.1+494851.95</f>
        <v>11462415.549999999</v>
      </c>
      <c r="E10" s="92" t="s">
        <v>81</v>
      </c>
      <c r="F10" s="82" t="s">
        <v>278</v>
      </c>
      <c r="G10" s="122">
        <v>494851.95</v>
      </c>
      <c r="H10" s="97"/>
    </row>
    <row r="11" spans="1:8" ht="18.75">
      <c r="A11" s="105">
        <v>4140000</v>
      </c>
      <c r="B11" s="74"/>
      <c r="C11" s="74"/>
      <c r="D11" s="114">
        <f>124174+350286+307352+1569111+424467+391554+254773.75+338429</f>
        <v>3760146.75</v>
      </c>
      <c r="E11" s="92" t="s">
        <v>82</v>
      </c>
      <c r="F11" s="82" t="s">
        <v>279</v>
      </c>
      <c r="G11" s="122">
        <v>338429</v>
      </c>
      <c r="H11" s="97"/>
    </row>
    <row r="12" spans="1:7" ht="18.75">
      <c r="A12" s="105">
        <v>1200000</v>
      </c>
      <c r="B12" s="74"/>
      <c r="C12" s="74"/>
      <c r="D12" s="114">
        <f>17594.18+29010.33+22739.11+148778.75+28602.25+15998.42+9690+28352.82</f>
        <v>300765.86</v>
      </c>
      <c r="E12" s="92" t="s">
        <v>83</v>
      </c>
      <c r="F12" s="82" t="s">
        <v>280</v>
      </c>
      <c r="G12" s="122">
        <v>28352.82</v>
      </c>
    </row>
    <row r="13" spans="1:7" ht="18.75">
      <c r="A13" s="105">
        <v>1110000</v>
      </c>
      <c r="B13" s="74"/>
      <c r="C13" s="74"/>
      <c r="D13" s="114">
        <f>42236.05+338450+41325+51120.27+42080.19+27892+23975+26355</f>
        <v>593433.51</v>
      </c>
      <c r="E13" s="92" t="s">
        <v>84</v>
      </c>
      <c r="F13" s="82" t="s">
        <v>281</v>
      </c>
      <c r="G13" s="122">
        <v>26355</v>
      </c>
    </row>
    <row r="14" spans="1:7" ht="18.75">
      <c r="A14" s="105">
        <v>151350000</v>
      </c>
      <c r="B14" s="74"/>
      <c r="C14" s="74"/>
      <c r="D14" s="114">
        <f>15083556.63+10091715.22+12163871.75+13111772.72+11137384.76+10199737.01+8810931.16+16131900.43</f>
        <v>96730869.68</v>
      </c>
      <c r="E14" s="92" t="s">
        <v>85</v>
      </c>
      <c r="F14" s="82" t="s">
        <v>282</v>
      </c>
      <c r="G14" s="122">
        <v>16131900.43</v>
      </c>
    </row>
    <row r="15" spans="1:9" ht="18.75">
      <c r="A15" s="105">
        <v>65000000</v>
      </c>
      <c r="B15" s="74"/>
      <c r="C15" s="74"/>
      <c r="D15" s="114">
        <v>50898482</v>
      </c>
      <c r="E15" s="92" t="s">
        <v>91</v>
      </c>
      <c r="F15" s="82" t="s">
        <v>283</v>
      </c>
      <c r="G15" s="122">
        <v>0</v>
      </c>
      <c r="I15" s="116">
        <f>+G15+G14+G13+G12+G11+G10</f>
        <v>17019889.2</v>
      </c>
    </row>
    <row r="16" spans="1:9" ht="18.75">
      <c r="A16" s="105"/>
      <c r="B16" s="74"/>
      <c r="C16" s="74"/>
      <c r="D16" s="114">
        <v>185700</v>
      </c>
      <c r="E16" s="92" t="s">
        <v>334</v>
      </c>
      <c r="F16" s="82" t="s">
        <v>333</v>
      </c>
      <c r="G16" s="122">
        <v>0</v>
      </c>
      <c r="I16" s="116"/>
    </row>
    <row r="17" spans="1:7" ht="18.75">
      <c r="A17" s="105"/>
      <c r="B17" s="74"/>
      <c r="C17" s="74"/>
      <c r="D17" s="114">
        <f aca="true" t="shared" si="0" ref="D17:D34">+G17</f>
        <v>0</v>
      </c>
      <c r="E17" s="92" t="s">
        <v>37</v>
      </c>
      <c r="F17" s="82" t="s">
        <v>284</v>
      </c>
      <c r="G17" s="122">
        <v>0</v>
      </c>
    </row>
    <row r="18" spans="1:9" ht="18.75">
      <c r="A18" s="105"/>
      <c r="B18" s="74"/>
      <c r="C18" s="74"/>
      <c r="D18" s="114">
        <f t="shared" si="0"/>
        <v>0</v>
      </c>
      <c r="E18" s="92" t="s">
        <v>86</v>
      </c>
      <c r="F18" s="82" t="s">
        <v>285</v>
      </c>
      <c r="G18" s="122">
        <v>0</v>
      </c>
      <c r="I18" s="116">
        <f>+D15+D14+D13+D12+D11+D10</f>
        <v>163746113.35000002</v>
      </c>
    </row>
    <row r="19" spans="1:7" ht="18.75">
      <c r="A19" s="105"/>
      <c r="B19" s="74"/>
      <c r="C19" s="74"/>
      <c r="D19" s="114">
        <f>32700+13700+12857+1000+1000+1000+27000</f>
        <v>89257</v>
      </c>
      <c r="E19" s="92" t="s">
        <v>87</v>
      </c>
      <c r="F19" s="82" t="s">
        <v>286</v>
      </c>
      <c r="G19" s="122">
        <v>27000</v>
      </c>
    </row>
    <row r="20" spans="1:7" ht="18.75">
      <c r="A20" s="105"/>
      <c r="B20" s="74"/>
      <c r="C20" s="74"/>
      <c r="D20" s="114">
        <f>95600+1678594+1583920+39300+1732600+1659380+1634033.12+1304381+929420</f>
        <v>10657228.120000001</v>
      </c>
      <c r="E20" s="92" t="s">
        <v>88</v>
      </c>
      <c r="F20" s="82" t="s">
        <v>287</v>
      </c>
      <c r="G20" s="122">
        <v>929420</v>
      </c>
    </row>
    <row r="21" spans="1:7" ht="18.75">
      <c r="A21" s="105"/>
      <c r="B21" s="74"/>
      <c r="C21" s="74"/>
      <c r="D21" s="114">
        <f t="shared" si="0"/>
        <v>0</v>
      </c>
      <c r="E21" s="92" t="s">
        <v>89</v>
      </c>
      <c r="F21" s="82" t="s">
        <v>288</v>
      </c>
      <c r="G21" s="122">
        <f>Sheet1!M13</f>
        <v>0</v>
      </c>
    </row>
    <row r="22" spans="1:7" ht="18.75">
      <c r="A22" s="105"/>
      <c r="B22" s="74"/>
      <c r="C22" s="74"/>
      <c r="D22" s="114">
        <f>23600+6800</f>
        <v>30400</v>
      </c>
      <c r="E22" s="92" t="s">
        <v>169</v>
      </c>
      <c r="F22" s="82" t="s">
        <v>289</v>
      </c>
      <c r="G22" s="122">
        <v>0</v>
      </c>
    </row>
    <row r="23" spans="1:9" ht="18.75">
      <c r="A23" s="105"/>
      <c r="B23" s="74"/>
      <c r="C23" s="74"/>
      <c r="D23" s="114">
        <f>940485.79+3796141.53+800+857340.71+3163896.24+2569460.71+1776493.05+915033.54+1094768.87</f>
        <v>15114420.440000001</v>
      </c>
      <c r="E23" s="92" t="s">
        <v>11</v>
      </c>
      <c r="F23" s="82" t="s">
        <v>320</v>
      </c>
      <c r="G23" s="122">
        <f>+หมายเหตุ!C32</f>
        <v>1094768.87</v>
      </c>
      <c r="I23" s="116" t="e">
        <f>+G23+#REF!+#REF!+G22+G21+G20+G19</f>
        <v>#REF!</v>
      </c>
    </row>
    <row r="24" spans="1:7" ht="18.75">
      <c r="A24" s="105"/>
      <c r="B24" s="74"/>
      <c r="C24" s="74"/>
      <c r="D24" s="114">
        <f>68202.38+20850+6500+15200</f>
        <v>110752.38</v>
      </c>
      <c r="E24" s="66" t="s">
        <v>12</v>
      </c>
      <c r="F24" s="82" t="s">
        <v>290</v>
      </c>
      <c r="G24" s="122">
        <v>0</v>
      </c>
    </row>
    <row r="25" spans="1:7" ht="18.75">
      <c r="A25" s="105"/>
      <c r="B25" s="74"/>
      <c r="C25" s="74"/>
      <c r="D25" s="114">
        <f t="shared" si="0"/>
        <v>0</v>
      </c>
      <c r="E25" s="66" t="s">
        <v>125</v>
      </c>
      <c r="F25" s="82" t="s">
        <v>291</v>
      </c>
      <c r="G25" s="122">
        <f>Sheet1!M18</f>
        <v>0</v>
      </c>
    </row>
    <row r="26" spans="1:7" ht="18.75">
      <c r="A26" s="105"/>
      <c r="B26" s="74"/>
      <c r="C26" s="74"/>
      <c r="D26" s="114">
        <f t="shared" si="0"/>
        <v>0</v>
      </c>
      <c r="E26" s="66" t="s">
        <v>105</v>
      </c>
      <c r="F26" s="82" t="s">
        <v>292</v>
      </c>
      <c r="G26" s="122">
        <f>Sheet1!M16</f>
        <v>0</v>
      </c>
    </row>
    <row r="27" spans="1:10" ht="18.75">
      <c r="A27" s="105"/>
      <c r="B27" s="74"/>
      <c r="C27" s="74"/>
      <c r="D27" s="114">
        <f t="shared" si="0"/>
        <v>0</v>
      </c>
      <c r="E27" s="66" t="s">
        <v>77</v>
      </c>
      <c r="F27" s="82" t="s">
        <v>321</v>
      </c>
      <c r="G27" s="122">
        <f>Sheet1!M17</f>
        <v>0</v>
      </c>
      <c r="J27" s="19" t="s">
        <v>203</v>
      </c>
    </row>
    <row r="28" spans="1:7" ht="18.75">
      <c r="A28" s="105"/>
      <c r="B28" s="74"/>
      <c r="C28" s="74"/>
      <c r="D28" s="114">
        <f t="shared" si="0"/>
        <v>0</v>
      </c>
      <c r="E28" s="66" t="s">
        <v>21</v>
      </c>
      <c r="F28" s="82" t="s">
        <v>293</v>
      </c>
      <c r="G28" s="122">
        <v>0</v>
      </c>
    </row>
    <row r="29" spans="1:7" ht="18.75">
      <c r="A29" s="105"/>
      <c r="B29" s="74"/>
      <c r="C29" s="74"/>
      <c r="D29" s="114">
        <f t="shared" si="0"/>
        <v>0</v>
      </c>
      <c r="E29" s="66" t="s">
        <v>172</v>
      </c>
      <c r="F29" s="82" t="s">
        <v>294</v>
      </c>
      <c r="G29" s="122">
        <f>Sheet1!M19</f>
        <v>0</v>
      </c>
    </row>
    <row r="30" spans="1:7" ht="18.75">
      <c r="A30" s="105"/>
      <c r="B30" s="74"/>
      <c r="C30" s="74"/>
      <c r="D30" s="114">
        <f>63300+1500+700+700+600+2500</f>
        <v>69300</v>
      </c>
      <c r="E30" s="66" t="s">
        <v>14</v>
      </c>
      <c r="F30" s="83" t="s">
        <v>295</v>
      </c>
      <c r="G30" s="122">
        <v>2500</v>
      </c>
    </row>
    <row r="31" spans="1:7" ht="21">
      <c r="A31" s="105"/>
      <c r="B31" s="74"/>
      <c r="C31" s="74"/>
      <c r="D31" s="114">
        <f>10680+11905</f>
        <v>22585</v>
      </c>
      <c r="E31" s="66" t="s">
        <v>121</v>
      </c>
      <c r="F31" s="82" t="s">
        <v>310</v>
      </c>
      <c r="G31" s="27">
        <v>0</v>
      </c>
    </row>
    <row r="32" spans="1:7" ht="21">
      <c r="A32" s="105"/>
      <c r="B32" s="74"/>
      <c r="C32" s="74"/>
      <c r="D32" s="114">
        <f>41027.61+90636.88+13090.31</f>
        <v>144754.8</v>
      </c>
      <c r="E32" s="66" t="s">
        <v>167</v>
      </c>
      <c r="F32" s="82" t="s">
        <v>310</v>
      </c>
      <c r="G32" s="27">
        <v>13090.31</v>
      </c>
    </row>
    <row r="33" spans="1:7" ht="18.75">
      <c r="A33" s="105"/>
      <c r="B33" s="74"/>
      <c r="C33" s="74"/>
      <c r="D33" s="114">
        <f t="shared" si="0"/>
        <v>0</v>
      </c>
      <c r="E33" s="66" t="s">
        <v>15</v>
      </c>
      <c r="F33" s="82" t="s">
        <v>311</v>
      </c>
      <c r="G33" s="122">
        <f>Sheet1!M24</f>
        <v>0</v>
      </c>
    </row>
    <row r="34" spans="1:7" ht="18.75">
      <c r="A34" s="105"/>
      <c r="B34" s="74"/>
      <c r="C34" s="74"/>
      <c r="D34" s="114">
        <f t="shared" si="0"/>
        <v>0</v>
      </c>
      <c r="E34" s="66" t="s">
        <v>16</v>
      </c>
      <c r="F34" s="82" t="s">
        <v>298</v>
      </c>
      <c r="G34" s="122">
        <f>Sheet1!M25</f>
        <v>0</v>
      </c>
    </row>
    <row r="35" spans="1:7" ht="18.75">
      <c r="A35" s="105"/>
      <c r="B35" s="74"/>
      <c r="C35" s="74"/>
      <c r="D35" s="114">
        <f>20+256+170+3</f>
        <v>449</v>
      </c>
      <c r="E35" s="66" t="s">
        <v>18</v>
      </c>
      <c r="F35" s="84" t="s">
        <v>300</v>
      </c>
      <c r="G35" s="122">
        <v>3</v>
      </c>
    </row>
    <row r="36" spans="1:7" ht="18.75">
      <c r="A36" s="74"/>
      <c r="B36" s="74"/>
      <c r="C36" s="74"/>
      <c r="D36" s="74"/>
      <c r="E36" s="66"/>
      <c r="F36" s="82"/>
      <c r="G36" s="123"/>
    </row>
    <row r="37" spans="1:7" ht="18.75">
      <c r="A37" s="74"/>
      <c r="B37" s="74"/>
      <c r="C37" s="74"/>
      <c r="D37" s="74"/>
      <c r="E37" s="66"/>
      <c r="F37" s="82"/>
      <c r="G37" s="123"/>
    </row>
    <row r="38" spans="1:7" ht="19.5" thickBot="1">
      <c r="A38" s="74"/>
      <c r="B38" s="74"/>
      <c r="C38" s="74"/>
      <c r="D38" s="74"/>
      <c r="E38" s="66"/>
      <c r="F38" s="82"/>
      <c r="G38" s="123"/>
    </row>
    <row r="39" spans="1:10" ht="19.5" thickBot="1">
      <c r="A39" s="106">
        <f>SUM(A10:A17)</f>
        <v>235000000</v>
      </c>
      <c r="B39" s="85"/>
      <c r="C39" s="85"/>
      <c r="D39" s="115">
        <f>SUM(D10:D37)</f>
        <v>190170960.09000003</v>
      </c>
      <c r="E39" s="127" t="s">
        <v>25</v>
      </c>
      <c r="F39" s="128"/>
      <c r="G39" s="106">
        <f>SUM(G10:G38)</f>
        <v>19086671.38</v>
      </c>
      <c r="I39" s="116">
        <f>+กระแสเงินสด!C33</f>
        <v>19086671.38</v>
      </c>
      <c r="J39" s="116">
        <f>+กระแสเงินสด!E33</f>
        <v>190170960.09</v>
      </c>
    </row>
    <row r="40" spans="1:10" ht="24.75" customHeight="1" thickBot="1" thickTop="1">
      <c r="A40" s="181" t="s">
        <v>209</v>
      </c>
      <c r="B40" s="181"/>
      <c r="C40" s="181"/>
      <c r="D40" s="181"/>
      <c r="E40" s="181"/>
      <c r="F40" s="181"/>
      <c r="G40" s="181"/>
      <c r="I40" s="116">
        <f>+G39-I39</f>
        <v>0</v>
      </c>
      <c r="J40" s="116">
        <f>+J39-D39</f>
        <v>0</v>
      </c>
    </row>
    <row r="41" spans="1:7" ht="19.5" thickBot="1">
      <c r="A41" s="184" t="s">
        <v>0</v>
      </c>
      <c r="B41" s="185"/>
      <c r="C41" s="185"/>
      <c r="D41" s="185"/>
      <c r="E41" s="81"/>
      <c r="F41" s="81"/>
      <c r="G41" s="158" t="s">
        <v>53</v>
      </c>
    </row>
    <row r="42" spans="1:7" ht="18.75">
      <c r="A42" s="75"/>
      <c r="B42" s="94" t="s">
        <v>205</v>
      </c>
      <c r="C42" s="75"/>
      <c r="D42" s="75"/>
      <c r="E42" s="76" t="s">
        <v>4</v>
      </c>
      <c r="F42" s="77" t="s">
        <v>5</v>
      </c>
      <c r="G42" s="159" t="s">
        <v>7</v>
      </c>
    </row>
    <row r="43" spans="1:7" ht="18.75">
      <c r="A43" s="77" t="s">
        <v>1</v>
      </c>
      <c r="B43" s="77" t="s">
        <v>206</v>
      </c>
      <c r="C43" s="77" t="s">
        <v>31</v>
      </c>
      <c r="D43" s="77" t="s">
        <v>3</v>
      </c>
      <c r="E43" s="74"/>
      <c r="F43" s="77" t="s">
        <v>6</v>
      </c>
      <c r="G43" s="100" t="s">
        <v>3</v>
      </c>
    </row>
    <row r="44" spans="1:7" ht="19.5" thickBot="1">
      <c r="A44" s="95" t="s">
        <v>208</v>
      </c>
      <c r="B44" s="95" t="s">
        <v>207</v>
      </c>
      <c r="C44" s="95" t="s">
        <v>208</v>
      </c>
      <c r="D44" s="95" t="s">
        <v>208</v>
      </c>
      <c r="E44" s="80"/>
      <c r="F44" s="77"/>
      <c r="G44" s="101" t="s">
        <v>2</v>
      </c>
    </row>
    <row r="45" spans="1:7" ht="19.5" thickTop="1">
      <c r="A45" s="73"/>
      <c r="B45" s="73"/>
      <c r="C45" s="73"/>
      <c r="D45" s="73"/>
      <c r="E45" s="129" t="s">
        <v>13</v>
      </c>
      <c r="F45" s="130"/>
      <c r="G45" s="86"/>
    </row>
    <row r="46" spans="1:9" ht="18.75">
      <c r="A46" s="105">
        <v>41549770</v>
      </c>
      <c r="B46" s="74"/>
      <c r="C46" s="74"/>
      <c r="D46" s="132">
        <f>2576248.4+6275650.6+1812864.4+2765714.4+3366013.4+2712274.4+3017456.41+2772075.4</f>
        <v>25298297.409999996</v>
      </c>
      <c r="E46" s="131" t="s">
        <v>14</v>
      </c>
      <c r="F46" s="83" t="s">
        <v>312</v>
      </c>
      <c r="G46" s="132">
        <v>2772075.4</v>
      </c>
      <c r="I46" s="38"/>
    </row>
    <row r="47" spans="1:9" ht="18.75">
      <c r="A47" s="105">
        <v>4426920</v>
      </c>
      <c r="B47" s="74"/>
      <c r="C47" s="74"/>
      <c r="D47" s="132">
        <f>170970+170970+170970+170970+170970+170970+170970+170970</f>
        <v>1367760</v>
      </c>
      <c r="E47" s="131" t="s">
        <v>120</v>
      </c>
      <c r="F47" s="83" t="s">
        <v>313</v>
      </c>
      <c r="G47" s="132">
        <v>170970</v>
      </c>
      <c r="I47" s="38"/>
    </row>
    <row r="48" spans="1:9" ht="18.75">
      <c r="A48" s="105">
        <v>29869100</v>
      </c>
      <c r="B48" s="74"/>
      <c r="C48" s="74"/>
      <c r="D48" s="132">
        <f>2122521.29+2077498.3+2147654.84+2092774.84+2102480+2035827.58+2231537+2209067.35</f>
        <v>17019361.2</v>
      </c>
      <c r="E48" s="131" t="s">
        <v>165</v>
      </c>
      <c r="F48" s="83" t="s">
        <v>309</v>
      </c>
      <c r="G48" s="132">
        <v>2209067.35</v>
      </c>
      <c r="I48" s="38"/>
    </row>
    <row r="49" spans="1:9" ht="18.75">
      <c r="A49" s="105">
        <f>424100+463100+163000+5800</f>
        <v>1056000</v>
      </c>
      <c r="B49" s="74"/>
      <c r="C49" s="74"/>
      <c r="D49" s="132">
        <f>83680+83680+83680+83680+83680+83680+83680+83680</f>
        <v>669440</v>
      </c>
      <c r="E49" s="131" t="s">
        <v>166</v>
      </c>
      <c r="F49" s="83" t="s">
        <v>309</v>
      </c>
      <c r="G49" s="132">
        <v>83680</v>
      </c>
      <c r="I49" s="38"/>
    </row>
    <row r="50" spans="1:9" ht="18.75">
      <c r="A50" s="105">
        <v>39830400</v>
      </c>
      <c r="B50" s="74"/>
      <c r="C50" s="74"/>
      <c r="D50" s="132">
        <f>3183022.02+3133720+3295590.96+3340674.19+3364662.83+3457925+3371751.67+3330326.93</f>
        <v>26477673.6</v>
      </c>
      <c r="E50" s="131" t="s">
        <v>167</v>
      </c>
      <c r="F50" s="83" t="s">
        <v>296</v>
      </c>
      <c r="G50" s="132">
        <v>3330326.93</v>
      </c>
      <c r="I50" s="38"/>
    </row>
    <row r="51" spans="1:9" ht="18.75">
      <c r="A51" s="105">
        <v>6504500</v>
      </c>
      <c r="B51" s="74"/>
      <c r="C51" s="74"/>
      <c r="D51" s="132">
        <f>136440+197743.88+175555+245645+194770+248038.25+114730+268161</f>
        <v>1581083.13</v>
      </c>
      <c r="E51" s="131" t="s">
        <v>15</v>
      </c>
      <c r="F51" s="83" t="s">
        <v>297</v>
      </c>
      <c r="G51" s="132">
        <v>268161</v>
      </c>
      <c r="I51" s="38"/>
    </row>
    <row r="52" spans="1:9" ht="18.75">
      <c r="A52" s="105">
        <v>34672100</v>
      </c>
      <c r="B52" s="74"/>
      <c r="C52" s="74"/>
      <c r="D52" s="132">
        <f>36466+1096057.42+1722113.44+2298905.68+1607118.85+1367406.37+1886873.66+2458056.77</f>
        <v>12472998.19</v>
      </c>
      <c r="E52" s="131" t="s">
        <v>16</v>
      </c>
      <c r="F52" s="84" t="s">
        <v>301</v>
      </c>
      <c r="G52" s="132">
        <v>2458056.77</v>
      </c>
      <c r="I52" s="38"/>
    </row>
    <row r="53" spans="1:9" ht="18.75">
      <c r="A53" s="105">
        <v>11432110</v>
      </c>
      <c r="B53" s="74"/>
      <c r="C53" s="74"/>
      <c r="D53" s="132">
        <f>88511.97+528463.35+493981.82+917370.85+750067.67+940320.81+1410319.43+504322.08</f>
        <v>5633357.9799999995</v>
      </c>
      <c r="E53" s="131" t="s">
        <v>17</v>
      </c>
      <c r="F53" s="84" t="s">
        <v>299</v>
      </c>
      <c r="G53" s="132">
        <v>504322.08</v>
      </c>
      <c r="I53" s="38"/>
    </row>
    <row r="54" spans="1:9" ht="18.75">
      <c r="A54" s="105">
        <v>2475000</v>
      </c>
      <c r="B54" s="74"/>
      <c r="C54" s="74"/>
      <c r="D54" s="132">
        <f>165636.2+144089.59+173595+170797.29+124999.72+190771.35+164698.34+190704.55</f>
        <v>1325292.04</v>
      </c>
      <c r="E54" s="131" t="s">
        <v>18</v>
      </c>
      <c r="F54" s="84" t="s">
        <v>302</v>
      </c>
      <c r="G54" s="132">
        <v>190704.55</v>
      </c>
      <c r="I54" s="38"/>
    </row>
    <row r="55" spans="1:9" ht="18.75">
      <c r="A55" s="105">
        <v>21487700</v>
      </c>
      <c r="B55" s="74"/>
      <c r="C55" s="74"/>
      <c r="D55" s="105">
        <f>40453.8+21346.33+159831+51500+111600+184470+14290711</f>
        <v>14859912.13</v>
      </c>
      <c r="E55" s="131" t="s">
        <v>19</v>
      </c>
      <c r="F55" s="84" t="s">
        <v>322</v>
      </c>
      <c r="G55" s="132">
        <v>14290711</v>
      </c>
      <c r="I55" s="38"/>
    </row>
    <row r="56" spans="1:9" ht="21">
      <c r="A56" s="105"/>
      <c r="B56" s="74"/>
      <c r="C56" s="74"/>
      <c r="D56" s="162">
        <v>95900</v>
      </c>
      <c r="E56" s="163" t="s">
        <v>317</v>
      </c>
      <c r="F56" s="84" t="s">
        <v>318</v>
      </c>
      <c r="G56" s="164">
        <v>0</v>
      </c>
      <c r="I56" s="38"/>
    </row>
    <row r="57" spans="1:9" ht="18.75">
      <c r="A57" s="105">
        <v>36920400</v>
      </c>
      <c r="B57" s="74"/>
      <c r="C57" s="74"/>
      <c r="D57" s="105">
        <f>2325000+2793600+4495500+2872500+1210000</f>
        <v>13696600</v>
      </c>
      <c r="E57" s="131" t="s">
        <v>20</v>
      </c>
      <c r="F57" s="84" t="s">
        <v>303</v>
      </c>
      <c r="G57" s="132">
        <v>1210000</v>
      </c>
      <c r="I57" s="38"/>
    </row>
    <row r="58" spans="1:14" ht="18.75">
      <c r="A58" s="105">
        <v>4776000</v>
      </c>
      <c r="B58" s="74"/>
      <c r="C58" s="74"/>
      <c r="D58" s="105">
        <f>804000+93150+10000+870000+258000</f>
        <v>2035150</v>
      </c>
      <c r="E58" s="131" t="s">
        <v>10</v>
      </c>
      <c r="F58" s="84" t="s">
        <v>304</v>
      </c>
      <c r="G58" s="132">
        <v>0</v>
      </c>
      <c r="I58" s="38">
        <f>+G58+G55+G54+G53+G52+G51+G50+G49+G48+G47+G46</f>
        <v>26278075.080000002</v>
      </c>
      <c r="J58" s="38">
        <f>+D58+D57+D55+D54+D53+D52+D51+D50+D49+D48+D47+D46</f>
        <v>122436925.67999999</v>
      </c>
      <c r="K58" s="38"/>
      <c r="L58" s="38"/>
      <c r="M58" s="38"/>
      <c r="N58" s="38"/>
    </row>
    <row r="59" spans="1:9" ht="18.75">
      <c r="A59" s="105"/>
      <c r="B59" s="74"/>
      <c r="C59" s="74"/>
      <c r="D59" s="105">
        <f aca="true" t="shared" si="1" ref="D59:D71">+G59</f>
        <v>0</v>
      </c>
      <c r="E59" s="131" t="s">
        <v>147</v>
      </c>
      <c r="F59" s="84" t="s">
        <v>305</v>
      </c>
      <c r="G59" s="132">
        <v>0</v>
      </c>
      <c r="I59" s="38"/>
    </row>
    <row r="60" spans="1:9" ht="18.75">
      <c r="A60" s="74"/>
      <c r="B60" s="74"/>
      <c r="C60" s="74"/>
      <c r="D60" s="105">
        <f t="shared" si="1"/>
        <v>0</v>
      </c>
      <c r="E60" s="131" t="s">
        <v>118</v>
      </c>
      <c r="F60" s="84" t="s">
        <v>326</v>
      </c>
      <c r="G60" s="132">
        <v>0</v>
      </c>
      <c r="I60" s="38"/>
    </row>
    <row r="61" spans="1:9" ht="18.75">
      <c r="A61" s="74"/>
      <c r="B61" s="74"/>
      <c r="C61" s="74"/>
      <c r="D61" s="105">
        <f>45944+3252420+189150+1689150+1767054+1566640.12+1431770+747886</f>
        <v>10690014.120000001</v>
      </c>
      <c r="E61" s="131" t="s">
        <v>111</v>
      </c>
      <c r="F61" s="84" t="s">
        <v>287</v>
      </c>
      <c r="G61" s="132">
        <v>747886</v>
      </c>
      <c r="I61" s="38"/>
    </row>
    <row r="62" spans="1:9" ht="18.75">
      <c r="A62" s="74"/>
      <c r="B62" s="74"/>
      <c r="C62" s="74"/>
      <c r="D62" s="105">
        <f t="shared" si="1"/>
        <v>0</v>
      </c>
      <c r="E62" s="131" t="s">
        <v>112</v>
      </c>
      <c r="F62" s="82" t="s">
        <v>288</v>
      </c>
      <c r="G62" s="132">
        <f>Sheet1!M53</f>
        <v>0</v>
      </c>
      <c r="I62" s="38"/>
    </row>
    <row r="63" spans="1:9" ht="18.75">
      <c r="A63" s="74"/>
      <c r="B63" s="74"/>
      <c r="C63" s="74"/>
      <c r="D63" s="105">
        <f t="shared" si="1"/>
        <v>0</v>
      </c>
      <c r="E63" s="131" t="s">
        <v>113</v>
      </c>
      <c r="F63" s="82" t="s">
        <v>286</v>
      </c>
      <c r="G63" s="117"/>
      <c r="I63" s="38"/>
    </row>
    <row r="64" spans="1:9" ht="18.75">
      <c r="A64" s="74"/>
      <c r="B64" s="74"/>
      <c r="C64" s="74"/>
      <c r="D64" s="105">
        <f>23600+6800+6800</f>
        <v>37200</v>
      </c>
      <c r="E64" s="131" t="s">
        <v>175</v>
      </c>
      <c r="F64" s="82" t="s">
        <v>289</v>
      </c>
      <c r="G64" s="117">
        <v>6800</v>
      </c>
      <c r="I64" s="38"/>
    </row>
    <row r="65" spans="1:7" ht="18.75">
      <c r="A65" s="74"/>
      <c r="B65" s="74"/>
      <c r="C65" s="74"/>
      <c r="D65" s="105">
        <f t="shared" si="1"/>
        <v>0</v>
      </c>
      <c r="E65" s="131" t="s">
        <v>114</v>
      </c>
      <c r="F65" s="82" t="s">
        <v>284</v>
      </c>
      <c r="G65" s="117"/>
    </row>
    <row r="66" spans="1:7" ht="18.75">
      <c r="A66" s="74"/>
      <c r="B66" s="74"/>
      <c r="C66" s="74"/>
      <c r="D66" s="105">
        <f t="shared" si="1"/>
        <v>0</v>
      </c>
      <c r="E66" s="131" t="s">
        <v>115</v>
      </c>
      <c r="F66" s="82" t="s">
        <v>285</v>
      </c>
      <c r="G66" s="117"/>
    </row>
    <row r="67" spans="1:7" ht="18.75">
      <c r="A67" s="74"/>
      <c r="B67" s="74"/>
      <c r="C67" s="74"/>
      <c r="D67" s="105">
        <f t="shared" si="1"/>
        <v>0</v>
      </c>
      <c r="E67" s="131" t="s">
        <v>108</v>
      </c>
      <c r="F67" s="82" t="s">
        <v>306</v>
      </c>
      <c r="G67" s="117"/>
    </row>
    <row r="68" spans="1:7" ht="18.75">
      <c r="A68" s="74"/>
      <c r="B68" s="74"/>
      <c r="C68" s="74"/>
      <c r="D68" s="105">
        <f t="shared" si="1"/>
        <v>0</v>
      </c>
      <c r="E68" s="131" t="s">
        <v>105</v>
      </c>
      <c r="F68" s="82" t="s">
        <v>307</v>
      </c>
      <c r="G68" s="117"/>
    </row>
    <row r="69" spans="1:7" ht="18.75">
      <c r="A69" s="74"/>
      <c r="B69" s="74"/>
      <c r="C69" s="74"/>
      <c r="D69" s="105">
        <v>78200</v>
      </c>
      <c r="E69" s="131" t="s">
        <v>77</v>
      </c>
      <c r="F69" s="84" t="s">
        <v>321</v>
      </c>
      <c r="G69" s="117">
        <v>0</v>
      </c>
    </row>
    <row r="70" spans="1:7" ht="18.75">
      <c r="A70" s="74"/>
      <c r="B70" s="74"/>
      <c r="C70" s="74"/>
      <c r="D70" s="105">
        <f>132800+34000+400786.5+4780000</f>
        <v>5347586.5</v>
      </c>
      <c r="E70" s="131" t="s">
        <v>261</v>
      </c>
      <c r="F70" s="82" t="s">
        <v>323</v>
      </c>
      <c r="G70" s="117">
        <f>+หมายเหตุ!E38</f>
        <v>0</v>
      </c>
    </row>
    <row r="71" spans="1:7" ht="18.75">
      <c r="A71" s="74"/>
      <c r="B71" s="74"/>
      <c r="C71" s="74"/>
      <c r="D71" s="105">
        <f t="shared" si="1"/>
        <v>0</v>
      </c>
      <c r="E71" s="131" t="s">
        <v>249</v>
      </c>
      <c r="F71" s="84" t="s">
        <v>324</v>
      </c>
      <c r="G71" s="117"/>
    </row>
    <row r="72" spans="1:7" ht="18.75">
      <c r="A72" s="74"/>
      <c r="B72" s="74"/>
      <c r="C72" s="74"/>
      <c r="D72" s="105">
        <f>715046.52+1028367.48+3345496.48+1612704.96+1449421.98+3391495.96+1771533+1090660.05</f>
        <v>14404726.43</v>
      </c>
      <c r="E72" s="131" t="s">
        <v>11</v>
      </c>
      <c r="F72" s="84" t="s">
        <v>320</v>
      </c>
      <c r="G72" s="117">
        <f>+หมายเหตุ!D32</f>
        <v>1090660.05</v>
      </c>
    </row>
    <row r="73" spans="1:7" ht="18.75">
      <c r="A73" s="74"/>
      <c r="B73" s="74"/>
      <c r="C73" s="74"/>
      <c r="D73" s="105">
        <v>0</v>
      </c>
      <c r="E73" s="131" t="s">
        <v>12</v>
      </c>
      <c r="F73" s="84" t="s">
        <v>290</v>
      </c>
      <c r="G73" s="117">
        <v>0</v>
      </c>
    </row>
    <row r="74" spans="1:7" ht="18.75">
      <c r="A74" s="74"/>
      <c r="B74" s="74"/>
      <c r="C74" s="74"/>
      <c r="D74" s="105">
        <v>237847.96</v>
      </c>
      <c r="E74" s="131" t="s">
        <v>177</v>
      </c>
      <c r="F74" s="84" t="s">
        <v>308</v>
      </c>
      <c r="G74" s="117">
        <v>0</v>
      </c>
    </row>
    <row r="75" spans="1:7" ht="21">
      <c r="A75" s="74"/>
      <c r="B75" s="74"/>
      <c r="C75" s="74"/>
      <c r="D75" s="105"/>
      <c r="E75" s="21"/>
      <c r="F75" s="84"/>
      <c r="G75" s="156"/>
    </row>
    <row r="76" spans="1:7" ht="21">
      <c r="A76" s="74"/>
      <c r="B76" s="74"/>
      <c r="C76" s="74"/>
      <c r="D76" s="105"/>
      <c r="E76" s="21"/>
      <c r="F76" s="84"/>
      <c r="G76" s="156"/>
    </row>
    <row r="77" spans="1:7" ht="21">
      <c r="A77" s="74"/>
      <c r="B77" s="74"/>
      <c r="C77" s="74"/>
      <c r="D77" s="105"/>
      <c r="E77" s="21"/>
      <c r="F77" s="84"/>
      <c r="G77" s="156"/>
    </row>
    <row r="78" spans="1:7" ht="21">
      <c r="A78" s="74"/>
      <c r="B78" s="74"/>
      <c r="C78" s="74"/>
      <c r="D78" s="74"/>
      <c r="E78" s="21"/>
      <c r="F78" s="84"/>
      <c r="G78" s="156"/>
    </row>
    <row r="79" spans="1:7" ht="21.75" thickBot="1">
      <c r="A79" s="74"/>
      <c r="B79" s="74"/>
      <c r="C79" s="74"/>
      <c r="D79" s="74"/>
      <c r="E79" s="21"/>
      <c r="F79" s="84"/>
      <c r="G79" s="157"/>
    </row>
    <row r="80" spans="1:10" ht="19.5" thickBot="1">
      <c r="A80" s="107">
        <f>SUM(A46:A59)</f>
        <v>235000000</v>
      </c>
      <c r="B80" s="81"/>
      <c r="C80" s="81"/>
      <c r="D80" s="113">
        <f>SUM(D46:D78)</f>
        <v>153328400.69000003</v>
      </c>
      <c r="E80" s="133" t="s">
        <v>22</v>
      </c>
      <c r="F80" s="81"/>
      <c r="G80" s="118">
        <f>SUM(G46:G79)</f>
        <v>29333421.13</v>
      </c>
      <c r="I80" s="116">
        <f>+กระแสเงินสด!C62</f>
        <v>29333421.13</v>
      </c>
      <c r="J80" s="116">
        <f>+กระแสเงินสด!E62</f>
        <v>153328400.69000003</v>
      </c>
    </row>
    <row r="81" spans="1:10" ht="18.75">
      <c r="A81" s="93"/>
      <c r="B81" s="93"/>
      <c r="C81" s="93"/>
      <c r="D81" s="73"/>
      <c r="E81" s="134" t="s">
        <v>23</v>
      </c>
      <c r="F81" s="93"/>
      <c r="G81" s="73"/>
      <c r="I81" s="116">
        <f>+G80-I80</f>
        <v>0</v>
      </c>
      <c r="J81" s="116">
        <f>+D80-J80</f>
        <v>0</v>
      </c>
    </row>
    <row r="82" spans="1:7" ht="18.75">
      <c r="A82" s="93"/>
      <c r="B82" s="93"/>
      <c r="C82" s="93"/>
      <c r="D82" s="74"/>
      <c r="E82" s="134" t="s">
        <v>26</v>
      </c>
      <c r="F82" s="93"/>
      <c r="G82" s="74"/>
    </row>
    <row r="83" spans="1:7" ht="19.5" thickBot="1">
      <c r="A83" s="93"/>
      <c r="B83" s="93"/>
      <c r="C83" s="93"/>
      <c r="D83" s="135">
        <f>+กระแสเงินสด!E63</f>
        <v>36842559.399999976</v>
      </c>
      <c r="E83" s="134" t="s">
        <v>27</v>
      </c>
      <c r="F83" s="93"/>
      <c r="G83" s="114">
        <f>+G39-G80</f>
        <v>-10246749.75</v>
      </c>
    </row>
    <row r="84" spans="1:10" ht="19.5" thickBot="1">
      <c r="A84" s="93"/>
      <c r="B84" s="93"/>
      <c r="C84" s="93"/>
      <c r="D84" s="115">
        <f>+G84</f>
        <v>76576764.83</v>
      </c>
      <c r="E84" s="134" t="s">
        <v>24</v>
      </c>
      <c r="F84" s="93"/>
      <c r="G84" s="106">
        <f>+G8+G39-G80</f>
        <v>76576764.83</v>
      </c>
      <c r="I84" s="38" t="s">
        <v>203</v>
      </c>
      <c r="J84" s="116" t="s">
        <v>203</v>
      </c>
    </row>
    <row r="85" spans="6:7" ht="19.5" thickTop="1">
      <c r="F85" s="93"/>
      <c r="G85" s="93"/>
    </row>
    <row r="86" spans="1:4" ht="18.75">
      <c r="A86" s="93"/>
      <c r="B86" s="93"/>
      <c r="C86" s="93"/>
      <c r="D86" s="93"/>
    </row>
    <row r="87" ht="18.75">
      <c r="I87" s="19" t="s">
        <v>203</v>
      </c>
    </row>
  </sheetData>
  <sheetProtection/>
  <mergeCells count="6">
    <mergeCell ref="A40:G40"/>
    <mergeCell ref="A2:H2"/>
    <mergeCell ref="A4:D4"/>
    <mergeCell ref="A41:D41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1"/>
  <rowBreaks count="1" manualBreakCount="1">
    <brk id="39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80" t="s">
        <v>29</v>
      </c>
      <c r="B1" s="180"/>
      <c r="C1" s="180"/>
    </row>
    <row r="2" spans="1:3" ht="21">
      <c r="A2" s="180" t="s">
        <v>250</v>
      </c>
      <c r="B2" s="180"/>
      <c r="C2" s="180"/>
    </row>
    <row r="3" spans="1:3" ht="21">
      <c r="A3" s="180" t="s">
        <v>254</v>
      </c>
      <c r="B3" s="180"/>
      <c r="C3" s="180"/>
    </row>
    <row r="4" spans="1:3" ht="21">
      <c r="A4" s="10" t="s">
        <v>251</v>
      </c>
      <c r="B4" s="10"/>
      <c r="C4" s="10"/>
    </row>
    <row r="5" spans="1:3" ht="21">
      <c r="A5" s="102" t="s">
        <v>80</v>
      </c>
      <c r="B5" s="9"/>
      <c r="C5" s="9" t="s">
        <v>53</v>
      </c>
    </row>
    <row r="6" ht="21">
      <c r="B6" s="12" t="s">
        <v>203</v>
      </c>
    </row>
    <row r="10" ht="21">
      <c r="B10" s="13"/>
    </row>
    <row r="11" ht="21">
      <c r="B11" s="13"/>
    </row>
    <row r="12" spans="2:3" ht="21.75" thickBot="1">
      <c r="B12" s="103" t="s">
        <v>31</v>
      </c>
      <c r="C12" s="104">
        <f>SUM(C6:C11)</f>
        <v>0</v>
      </c>
    </row>
    <row r="13" spans="1:2" ht="21.75" thickTop="1">
      <c r="A13" s="10" t="s">
        <v>252</v>
      </c>
      <c r="B13" s="10"/>
    </row>
    <row r="14" spans="1:2" ht="21">
      <c r="A14" s="102" t="s">
        <v>80</v>
      </c>
      <c r="B14" s="9"/>
    </row>
    <row r="19" spans="2:3" ht="21.75" thickBot="1">
      <c r="B19" s="103" t="s">
        <v>31</v>
      </c>
      <c r="C19" s="104">
        <f>SUM(C8:C18)</f>
        <v>0</v>
      </c>
    </row>
    <row r="20" ht="21.75" thickTop="1"/>
    <row r="21" spans="1:2" ht="21">
      <c r="A21" s="10" t="s">
        <v>253</v>
      </c>
      <c r="B21" s="10"/>
    </row>
    <row r="22" ht="21">
      <c r="B22" s="12" t="s">
        <v>48</v>
      </c>
    </row>
    <row r="23" ht="21">
      <c r="B23" s="12" t="s">
        <v>78</v>
      </c>
    </row>
    <row r="24" ht="21">
      <c r="B24" s="12" t="s">
        <v>49</v>
      </c>
    </row>
    <row r="25" ht="21">
      <c r="B25" s="12" t="s">
        <v>79</v>
      </c>
    </row>
    <row r="26" ht="21">
      <c r="B26" s="12" t="s">
        <v>161</v>
      </c>
    </row>
    <row r="27" ht="21">
      <c r="B27" s="12" t="s">
        <v>9</v>
      </c>
    </row>
    <row r="28" ht="21">
      <c r="B28" s="12" t="s">
        <v>51</v>
      </c>
    </row>
    <row r="29" spans="2:7" ht="21">
      <c r="B29" s="12" t="s">
        <v>99</v>
      </c>
      <c r="G29" s="12" t="s">
        <v>203</v>
      </c>
    </row>
    <row r="30" ht="21">
      <c r="B30" s="12" t="s">
        <v>129</v>
      </c>
    </row>
    <row r="31" ht="21">
      <c r="B31" s="12" t="s">
        <v>122</v>
      </c>
    </row>
    <row r="32" ht="21">
      <c r="B32" s="12" t="s">
        <v>142</v>
      </c>
    </row>
    <row r="33" ht="21">
      <c r="B33" s="12" t="s">
        <v>197</v>
      </c>
    </row>
    <row r="34" ht="21">
      <c r="B34" s="19" t="s">
        <v>211</v>
      </c>
    </row>
    <row r="35" ht="21">
      <c r="B35" s="19" t="s">
        <v>226</v>
      </c>
    </row>
    <row r="36" ht="21">
      <c r="B36" s="19" t="s">
        <v>227</v>
      </c>
    </row>
    <row r="37" ht="21">
      <c r="B37" s="12" t="s">
        <v>123</v>
      </c>
    </row>
    <row r="38" ht="21">
      <c r="B38" s="12" t="s">
        <v>57</v>
      </c>
    </row>
    <row r="39" ht="21">
      <c r="B39" s="13" t="s">
        <v>55</v>
      </c>
    </row>
    <row r="40" ht="21">
      <c r="B40" s="13" t="s">
        <v>56</v>
      </c>
    </row>
    <row r="41" spans="2:3" ht="21.75" thickBot="1">
      <c r="B41" s="103" t="s">
        <v>31</v>
      </c>
      <c r="C41" s="104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64"/>
      <c r="N24" s="64"/>
    </row>
    <row r="25" spans="1:12" ht="21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21.75">
      <c r="A26" s="1"/>
      <c r="D26" s="64"/>
      <c r="F26" s="64"/>
      <c r="J26" s="64"/>
      <c r="L26" s="64"/>
    </row>
    <row r="27" spans="6:10" ht="21.75">
      <c r="F27" s="1"/>
      <c r="J27" s="1"/>
    </row>
    <row r="28" spans="6:10" ht="21.75">
      <c r="F28" s="64">
        <f>+F27-F26</f>
        <v>0</v>
      </c>
      <c r="J28" s="110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2017-06-06T06:06:07Z</cp:lastPrinted>
  <dcterms:created xsi:type="dcterms:W3CDTF">2004-10-29T06:51:22Z</dcterms:created>
  <dcterms:modified xsi:type="dcterms:W3CDTF">2017-06-06T06:08:22Z</dcterms:modified>
  <cp:category/>
  <cp:version/>
  <cp:contentType/>
  <cp:contentStatus/>
</cp:coreProperties>
</file>